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sub\Desktop\"/>
    </mc:Choice>
  </mc:AlternateContent>
  <bookViews>
    <workbookView xWindow="120" yWindow="165" windowWidth="19320" windowHeight="801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Arkusz1!$A$1:$G$209</definedName>
  </definedNames>
  <calcPr calcId="152511"/>
</workbook>
</file>

<file path=xl/calcChain.xml><?xml version="1.0" encoding="utf-8"?>
<calcChain xmlns="http://schemas.openxmlformats.org/spreadsheetml/2006/main">
  <c r="F97" i="1" l="1"/>
  <c r="E97" i="1" s="1"/>
  <c r="G34" i="1" l="1"/>
  <c r="F32" i="1"/>
  <c r="F139" i="1" l="1"/>
  <c r="E139" i="1" s="1"/>
  <c r="G138" i="1"/>
  <c r="F37" i="1"/>
  <c r="F138" i="1" l="1"/>
  <c r="E138" i="1" s="1"/>
  <c r="F164" i="1"/>
  <c r="E164" i="1" s="1"/>
  <c r="E165" i="1"/>
  <c r="F64" i="1" l="1"/>
  <c r="E64" i="1" s="1"/>
  <c r="E65" i="1"/>
  <c r="E99" i="1" l="1"/>
  <c r="F17" i="1" l="1"/>
  <c r="E18" i="1"/>
  <c r="F93" i="1" l="1"/>
  <c r="E93" i="1" s="1"/>
  <c r="E94" i="1"/>
  <c r="F202" i="1" l="1"/>
  <c r="E158" i="1"/>
  <c r="F140" i="1" l="1"/>
  <c r="E143" i="1"/>
  <c r="F43" i="1" l="1"/>
  <c r="G17" i="1"/>
  <c r="E17" i="1" s="1"/>
  <c r="E19" i="1"/>
  <c r="E170" i="1"/>
  <c r="G14" i="1" l="1"/>
  <c r="F28" i="1"/>
  <c r="E200" i="1"/>
  <c r="G200" i="1"/>
  <c r="G114" i="1"/>
  <c r="E115" i="1"/>
  <c r="G113" i="1" l="1"/>
  <c r="F114" i="1"/>
  <c r="E114" i="1" s="1"/>
  <c r="E30" i="1"/>
  <c r="G202" i="1" l="1"/>
  <c r="E169" i="1"/>
  <c r="E40" i="1"/>
  <c r="G199" i="1" l="1"/>
  <c r="E199" i="1" s="1"/>
  <c r="G28" i="1"/>
  <c r="E28" i="1" s="1"/>
  <c r="E34" i="1" l="1"/>
  <c r="F95" i="1" l="1"/>
  <c r="E96" i="1"/>
  <c r="F62" i="1" l="1"/>
  <c r="E63" i="1"/>
  <c r="E61" i="1" l="1"/>
  <c r="F61" i="1"/>
  <c r="E62" i="1"/>
  <c r="E98" i="1"/>
  <c r="E202" i="1" l="1"/>
  <c r="F201" i="1"/>
  <c r="F196" i="1"/>
  <c r="F192" i="1"/>
  <c r="F191" i="1"/>
  <c r="F190" i="1"/>
  <c r="F189" i="1"/>
  <c r="F188" i="1"/>
  <c r="F186" i="1"/>
  <c r="F187" i="1"/>
  <c r="F195" i="1"/>
  <c r="F194" i="1"/>
  <c r="F193" i="1"/>
  <c r="F36" i="1"/>
  <c r="F55" i="1"/>
  <c r="F67" i="1"/>
  <c r="F75" i="1"/>
  <c r="F101" i="1"/>
  <c r="F104" i="1"/>
  <c r="F110" i="1"/>
  <c r="F119" i="1"/>
  <c r="F128" i="1"/>
  <c r="F152" i="1"/>
  <c r="F155" i="1"/>
  <c r="F173" i="1"/>
  <c r="F166" i="1"/>
  <c r="F163" i="1" s="1"/>
  <c r="I202" i="1" l="1"/>
  <c r="E105" i="1"/>
  <c r="E102" i="1" l="1"/>
  <c r="E95" i="1" l="1"/>
  <c r="E100" i="1"/>
  <c r="G198" i="1" l="1"/>
  <c r="E198" i="1" s="1"/>
  <c r="G183" i="1"/>
  <c r="E183" i="1" s="1"/>
  <c r="E184" i="1"/>
  <c r="G182" i="1" l="1"/>
  <c r="E182" i="1" s="1"/>
  <c r="E112" i="1"/>
  <c r="E111" i="1"/>
  <c r="E110" i="1"/>
  <c r="E43" i="1" l="1"/>
  <c r="G42" i="1"/>
  <c r="E32" i="1"/>
  <c r="E176" i="1" l="1"/>
  <c r="E194" i="1" l="1"/>
  <c r="E167" i="1"/>
  <c r="E168" i="1"/>
  <c r="E171" i="1"/>
  <c r="E172" i="1"/>
  <c r="E174" i="1"/>
  <c r="E175" i="1"/>
  <c r="E177" i="1"/>
  <c r="E47" i="1" l="1"/>
  <c r="E44" i="1"/>
  <c r="E142" i="1" l="1"/>
  <c r="G197" i="1" l="1"/>
  <c r="E197" i="1" s="1"/>
  <c r="E33" i="1" l="1"/>
  <c r="E196" i="1" l="1"/>
  <c r="E191" i="1"/>
  <c r="F72" i="1"/>
  <c r="F71" i="1" s="1"/>
  <c r="E71" i="1" s="1"/>
  <c r="E73" i="1"/>
  <c r="E72" i="1" l="1"/>
  <c r="E173" i="1"/>
  <c r="E187" i="1"/>
  <c r="E25" i="1"/>
  <c r="E26" i="1"/>
  <c r="F24" i="1"/>
  <c r="F23" i="1" s="1"/>
  <c r="E23" i="1" s="1"/>
  <c r="E163" i="1" l="1"/>
  <c r="E166" i="1"/>
  <c r="E24" i="1"/>
  <c r="E141" i="1" l="1"/>
  <c r="E140" i="1"/>
  <c r="E46" i="1" l="1"/>
  <c r="E78" i="1"/>
  <c r="E129" i="1" l="1"/>
  <c r="F15" i="1" l="1"/>
  <c r="F14" i="1" s="1"/>
  <c r="E16" i="1"/>
  <c r="F79" i="1"/>
  <c r="E15" i="1" l="1"/>
  <c r="G66" i="1"/>
  <c r="E126" i="1" l="1"/>
  <c r="F125" i="1"/>
  <c r="E125" i="1" s="1"/>
  <c r="F136" i="1"/>
  <c r="G36" i="1"/>
  <c r="G35" i="1"/>
  <c r="G101" i="1"/>
  <c r="H52" i="1"/>
  <c r="E201" i="1"/>
  <c r="G193" i="1"/>
  <c r="G192" i="1"/>
  <c r="G190" i="1"/>
  <c r="G189" i="1"/>
  <c r="E181" i="1"/>
  <c r="E180" i="1"/>
  <c r="F179" i="1"/>
  <c r="E179" i="1" s="1"/>
  <c r="E162" i="1"/>
  <c r="E161" i="1"/>
  <c r="F160" i="1"/>
  <c r="E160" i="1" s="1"/>
  <c r="E159" i="1"/>
  <c r="E157" i="1"/>
  <c r="E156" i="1"/>
  <c r="G155" i="1"/>
  <c r="E154" i="1"/>
  <c r="E153" i="1"/>
  <c r="G152" i="1"/>
  <c r="E151" i="1"/>
  <c r="G150" i="1"/>
  <c r="F150" i="1"/>
  <c r="E149" i="1"/>
  <c r="G148" i="1"/>
  <c r="F148" i="1"/>
  <c r="E147" i="1"/>
  <c r="E146" i="1"/>
  <c r="G145" i="1"/>
  <c r="F145" i="1"/>
  <c r="E137" i="1"/>
  <c r="G136" i="1"/>
  <c r="E135" i="1"/>
  <c r="G134" i="1"/>
  <c r="F134" i="1"/>
  <c r="E132" i="1"/>
  <c r="G131" i="1"/>
  <c r="F131" i="1"/>
  <c r="E130" i="1"/>
  <c r="G128" i="1"/>
  <c r="E124" i="1"/>
  <c r="G123" i="1"/>
  <c r="F123" i="1"/>
  <c r="E122" i="1"/>
  <c r="E121" i="1"/>
  <c r="E120" i="1"/>
  <c r="G119" i="1"/>
  <c r="E117" i="1"/>
  <c r="G116" i="1"/>
  <c r="F116" i="1"/>
  <c r="F113" i="1" s="1"/>
  <c r="E109" i="1"/>
  <c r="G108" i="1"/>
  <c r="F108" i="1"/>
  <c r="E107" i="1"/>
  <c r="G106" i="1"/>
  <c r="F106" i="1"/>
  <c r="E103" i="1"/>
  <c r="E90" i="1"/>
  <c r="G89" i="1"/>
  <c r="F89" i="1"/>
  <c r="E88" i="1"/>
  <c r="G87" i="1"/>
  <c r="F87" i="1"/>
  <c r="E86" i="1"/>
  <c r="G85" i="1"/>
  <c r="F85" i="1"/>
  <c r="E84" i="1"/>
  <c r="G83" i="1"/>
  <c r="F83" i="1"/>
  <c r="E81" i="1"/>
  <c r="E80" i="1"/>
  <c r="G79" i="1"/>
  <c r="E77" i="1"/>
  <c r="E76" i="1"/>
  <c r="G75" i="1"/>
  <c r="E70" i="1"/>
  <c r="E69" i="1"/>
  <c r="E68" i="1"/>
  <c r="H66" i="1"/>
  <c r="F66" i="1"/>
  <c r="E60" i="1"/>
  <c r="E59" i="1"/>
  <c r="F58" i="1"/>
  <c r="E57" i="1"/>
  <c r="E56" i="1"/>
  <c r="E54" i="1"/>
  <c r="F53" i="1"/>
  <c r="F52" i="1" s="1"/>
  <c r="E51" i="1"/>
  <c r="E50" i="1"/>
  <c r="G49" i="1"/>
  <c r="F49" i="1"/>
  <c r="E48" i="1"/>
  <c r="E41" i="1"/>
  <c r="E39" i="1"/>
  <c r="E38" i="1"/>
  <c r="E37" i="1"/>
  <c r="E31" i="1"/>
  <c r="E29" i="1"/>
  <c r="H27" i="1"/>
  <c r="E22" i="1"/>
  <c r="G21" i="1"/>
  <c r="H20" i="1" s="1"/>
  <c r="F21" i="1"/>
  <c r="H14" i="1"/>
  <c r="F127" i="1" l="1"/>
  <c r="F92" i="1"/>
  <c r="J202" i="1"/>
  <c r="F118" i="1"/>
  <c r="E118" i="1" s="1"/>
  <c r="E189" i="1"/>
  <c r="E52" i="1"/>
  <c r="H113" i="1"/>
  <c r="E127" i="1"/>
  <c r="F42" i="1"/>
  <c r="H74" i="1"/>
  <c r="E119" i="1"/>
  <c r="E193" i="1"/>
  <c r="G27" i="1"/>
  <c r="G185" i="1" s="1"/>
  <c r="H35" i="1"/>
  <c r="E66" i="1"/>
  <c r="E21" i="1"/>
  <c r="E36" i="1"/>
  <c r="H82" i="1"/>
  <c r="E85" i="1"/>
  <c r="E89" i="1"/>
  <c r="E108" i="1"/>
  <c r="E116" i="1"/>
  <c r="H118" i="1"/>
  <c r="E123" i="1"/>
  <c r="H127" i="1"/>
  <c r="E131" i="1"/>
  <c r="E136" i="1"/>
  <c r="H42" i="1"/>
  <c r="E49" i="1"/>
  <c r="E75" i="1"/>
  <c r="E79" i="1"/>
  <c r="F74" i="1"/>
  <c r="E104" i="1"/>
  <c r="E145" i="1"/>
  <c r="E148" i="1"/>
  <c r="H144" i="1"/>
  <c r="E152" i="1"/>
  <c r="E155" i="1"/>
  <c r="F178" i="1"/>
  <c r="F27" i="1"/>
  <c r="F35" i="1"/>
  <c r="E53" i="1"/>
  <c r="E55" i="1"/>
  <c r="E58" i="1"/>
  <c r="E83" i="1"/>
  <c r="E87" i="1"/>
  <c r="E101" i="1"/>
  <c r="E106" i="1"/>
  <c r="E128" i="1"/>
  <c r="E134" i="1"/>
  <c r="E150" i="1"/>
  <c r="E188" i="1"/>
  <c r="E190" i="1"/>
  <c r="E192" i="1"/>
  <c r="E186" i="1"/>
  <c r="E67" i="1"/>
  <c r="E14" i="1"/>
  <c r="F20" i="1"/>
  <c r="F82" i="1"/>
  <c r="H92" i="1"/>
  <c r="F144" i="1"/>
  <c r="E144" i="1" s="1"/>
  <c r="F185" i="1" l="1"/>
  <c r="E185" i="1" s="1"/>
  <c r="E35" i="1"/>
  <c r="E74" i="1"/>
  <c r="E92" i="1"/>
  <c r="E113" i="1"/>
  <c r="E42" i="1"/>
  <c r="E20" i="1"/>
  <c r="E27" i="1"/>
  <c r="E178" i="1"/>
  <c r="E82" i="1"/>
  <c r="E195" i="1" l="1"/>
  <c r="H202" i="1" s="1"/>
  <c r="I203" i="1"/>
  <c r="J203" i="1"/>
  <c r="H203" i="1" l="1"/>
</calcChain>
</file>

<file path=xl/sharedStrings.xml><?xml version="1.0" encoding="utf-8"?>
<sst xmlns="http://schemas.openxmlformats.org/spreadsheetml/2006/main" count="434" uniqueCount="244">
  <si>
    <t>Załącznik Nr 1</t>
  </si>
  <si>
    <t>ORAZ  ICH  STRUKTURA</t>
  </si>
  <si>
    <t>Dział</t>
  </si>
  <si>
    <t>Rozdział</t>
  </si>
  <si>
    <t>Paragraf</t>
  </si>
  <si>
    <t>Źródło dochodów</t>
  </si>
  <si>
    <t>Ogółem</t>
  </si>
  <si>
    <t>w tym:</t>
  </si>
  <si>
    <t>Bieżące</t>
  </si>
  <si>
    <t>Majątkowe</t>
  </si>
  <si>
    <t>010</t>
  </si>
  <si>
    <t>ROLNICTWO  I   ŁOWIECTWO</t>
  </si>
  <si>
    <t>2110</t>
  </si>
  <si>
    <t>Dotacje celowe otrzymane z budżetu państwa na zadania bieżące z zakresu administracji rządowej oraz inne zadania zlecone ustawami realizowane przez powiat</t>
  </si>
  <si>
    <t>2360</t>
  </si>
  <si>
    <t>Dochody jednostek samorządu terytorialnego związane z realizacją zadań z zakresu administracji rządowej oraz innych zadań zleconych ustawami</t>
  </si>
  <si>
    <t>020</t>
  </si>
  <si>
    <t>LEŚNICTWO</t>
  </si>
  <si>
    <t>02001</t>
  </si>
  <si>
    <t>Gospodarka leśna</t>
  </si>
  <si>
    <t>2460</t>
  </si>
  <si>
    <t>Środki otrzymane od pozostałych jednostek zaliczanych do sektora finansów publicznych na realizację zadań bieżących jednostek zaliczanych do sektora finansów publicznych</t>
  </si>
  <si>
    <t>600</t>
  </si>
  <si>
    <t>TRANSPORT  I  ŁĄCZNOŚĆ</t>
  </si>
  <si>
    <t>60014</t>
  </si>
  <si>
    <t>Drogi publiczne powiatowe</t>
  </si>
  <si>
    <t>0970</t>
  </si>
  <si>
    <t>Wpływy z różnych dochodów</t>
  </si>
  <si>
    <t>700</t>
  </si>
  <si>
    <t>GOSPODARKA MIESZKANIOWA</t>
  </si>
  <si>
    <t>70005</t>
  </si>
  <si>
    <t>Gospodarka gruntami i nieruchomościami</t>
  </si>
  <si>
    <t>0750</t>
  </si>
  <si>
    <t>0470</t>
  </si>
  <si>
    <t>710</t>
  </si>
  <si>
    <t>DZIAŁALNOŚĆ USŁUGOWA</t>
  </si>
  <si>
    <t>71012</t>
  </si>
  <si>
    <t>0690</t>
  </si>
  <si>
    <t>0920</t>
  </si>
  <si>
    <t>71015</t>
  </si>
  <si>
    <t>Nadzór budowlany</t>
  </si>
  <si>
    <t>750</t>
  </si>
  <si>
    <t>ADMINISTRACJA PUBLICZNA</t>
  </si>
  <si>
    <t>75011</t>
  </si>
  <si>
    <t>Urzędy wojewódzkie</t>
  </si>
  <si>
    <t>1</t>
  </si>
  <si>
    <t>2</t>
  </si>
  <si>
    <t>3</t>
  </si>
  <si>
    <t>4</t>
  </si>
  <si>
    <t>75020</t>
  </si>
  <si>
    <t>Starostwa powiatowe</t>
  </si>
  <si>
    <t>Wpływy z różnych opłat</t>
  </si>
  <si>
    <t>75045</t>
  </si>
  <si>
    <t>Kwalifikacja wojskowa</t>
  </si>
  <si>
    <t>2120</t>
  </si>
  <si>
    <t>Dotacje celowe otrzymane z budżetu państwa na zadania bieżące realizowane przez powiat na podstawie porozumień z organami administracji rządowej</t>
  </si>
  <si>
    <t>754</t>
  </si>
  <si>
    <t>BEZPIECZEŃSTWO PUBLICZNE  I  OCHRONA PRZECIWPOŻAROWA</t>
  </si>
  <si>
    <t>75411</t>
  </si>
  <si>
    <t>Komendy powiatowe Państwowej Straży Pożarnej</t>
  </si>
  <si>
    <t>756</t>
  </si>
  <si>
    <t>DOCHODY OD OSÓB PRAWNYCH, OD OSÓB FIZYCZNYCH  I  OD INNYCH JEDNOSTEK NIEPOSIADAJĄCYCH OSOBOWOŚCI PRAWNEJ ORAZ WYDATKI ZWIĄZANE  Z  ICH POBOREM</t>
  </si>
  <si>
    <t>75618</t>
  </si>
  <si>
    <t>Wpływy z innych opłat stanowiących dochody jednostek samorządu terytorialnego na podstawie ustaw</t>
  </si>
  <si>
    <t>0420</t>
  </si>
  <si>
    <t>Wpływy z opłaty komunikacyjnej</t>
  </si>
  <si>
    <t>0490</t>
  </si>
  <si>
    <t>75622</t>
  </si>
  <si>
    <t>Udziały powiatów w podatkach stanowiących dochód budżetu państwa</t>
  </si>
  <si>
    <t>0010</t>
  </si>
  <si>
    <t>0020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</si>
  <si>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</si>
  <si>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</si>
  <si>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</si>
  <si>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</si>
  <si>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</si>
  <si>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</si>
  <si>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75803</t>
  </si>
  <si>
    <t>Część wyrównawcza subwencji ogólnej dla powiatów</t>
  </si>
  <si>
    <t>75814</t>
  </si>
  <si>
    <t>Różne rozliczenia finansowe</t>
  </si>
  <si>
    <t>75832</t>
  </si>
  <si>
    <t>Część równoważąca subwencji ogólnej dla powiatów</t>
  </si>
  <si>
    <t>801</t>
  </si>
  <si>
    <t>OŚWIATA  I  WYCHOWANIE</t>
  </si>
  <si>
    <t>80120</t>
  </si>
  <si>
    <t>Licea ogólnokształcące</t>
  </si>
  <si>
    <t>80130</t>
  </si>
  <si>
    <t>Szkoły zawodowe</t>
  </si>
  <si>
    <t>2310</t>
  </si>
  <si>
    <t>Dotacje celowe otrzymane z gminy na zadania bieżące realizowane na podstawie porozumień (umów) między jednostkami samorządu terytorialnego</t>
  </si>
  <si>
    <t>80140</t>
  </si>
  <si>
    <t>Centra kształcenia ustawicznego i praktycznego oraz ośrodki dokształcania zawodowego</t>
  </si>
  <si>
    <t>80148</t>
  </si>
  <si>
    <t>Stołówki szkolne i przedszkolne</t>
  </si>
  <si>
    <t>0830</t>
  </si>
  <si>
    <t>Wpływy z usług</t>
  </si>
  <si>
    <t>851</t>
  </si>
  <si>
    <t>OCHRONA  ZDROWIA</t>
  </si>
  <si>
    <t>85156</t>
  </si>
  <si>
    <t>Składki na ubezpieczenie zdrowotne oraz świadczenia dla osób nieobjętych obowiązkiem ubezpieczenia zdrowotnego</t>
  </si>
  <si>
    <t>852</t>
  </si>
  <si>
    <t>POMOC  SPOŁECZNA</t>
  </si>
  <si>
    <t>2320</t>
  </si>
  <si>
    <t>Dotacje celowe otrzymane z powiatu na zadania bieżące realizowane na podstawie porozumień (umów) między jednostkami samorządu terytorialnego</t>
  </si>
  <si>
    <t>85202</t>
  </si>
  <si>
    <t>Domy pomocy społecznej</t>
  </si>
  <si>
    <t>2130</t>
  </si>
  <si>
    <t>Dotacje celowe otrzymane z budżetu państwa na realizację bieżących zadań własnych powiatu</t>
  </si>
  <si>
    <t>Wpływy  z usług</t>
  </si>
  <si>
    <t>Rodziny zastępcze</t>
  </si>
  <si>
    <t>85218</t>
  </si>
  <si>
    <t>Powiatowe centra pomocy rodzinie</t>
  </si>
  <si>
    <t>853</t>
  </si>
  <si>
    <t>POZOSTAŁE ZADANIA  W  ZAKRESIE POLITYKI SPOŁECZNEJ</t>
  </si>
  <si>
    <t>85321</t>
  </si>
  <si>
    <t>Zespół do spraw orzekania o niepełnosprawności</t>
  </si>
  <si>
    <t>85322</t>
  </si>
  <si>
    <t>Fundusz Pracy</t>
  </si>
  <si>
    <t>2690</t>
  </si>
  <si>
    <t>85324</t>
  </si>
  <si>
    <t>Państwowy Fundusz Rehabilitacji Osób Niepełnosprawnych</t>
  </si>
  <si>
    <t>85333</t>
  </si>
  <si>
    <t>Powiatowe urzędy pracy</t>
  </si>
  <si>
    <t>854</t>
  </si>
  <si>
    <t>EDUKACYJNA  OPIEKA  WYCHOWAWCZA</t>
  </si>
  <si>
    <t>85403</t>
  </si>
  <si>
    <t>Specjalne ośrodki szkolno-wychowawcze</t>
  </si>
  <si>
    <t>85406</t>
  </si>
  <si>
    <t>Poradnie psychologiczno - pedagogiczne, w tym poradnie specjalistyczne</t>
  </si>
  <si>
    <t>85407</t>
  </si>
  <si>
    <t>Placówki wychowania pozaszkolnego</t>
  </si>
  <si>
    <t>85410</t>
  </si>
  <si>
    <t>Internaty i bursy szkolne</t>
  </si>
  <si>
    <t>85420</t>
  </si>
  <si>
    <t>Młodzieżowe ośrodki wychowawcze</t>
  </si>
  <si>
    <t>85421</t>
  </si>
  <si>
    <t>Młodzieżowe ośrodki socjoterapii</t>
  </si>
  <si>
    <t>900</t>
  </si>
  <si>
    <t>GOSPODARKA KOMUNALNA  I  OCHRONA ŚRODOWISKA</t>
  </si>
  <si>
    <t>90019</t>
  </si>
  <si>
    <t>Wpływy i wydatki związane z gromadzeniem środków z opłat i kar za korzystanie ze środowiska</t>
  </si>
  <si>
    <t>0580</t>
  </si>
  <si>
    <t>OGÓŁEM DOCHODY</t>
  </si>
  <si>
    <t>Dochody pozyskane z innych źródeł</t>
  </si>
  <si>
    <t>Dochody własne</t>
  </si>
  <si>
    <t xml:space="preserve"> </t>
  </si>
  <si>
    <t xml:space="preserve">    </t>
  </si>
  <si>
    <t>0680</t>
  </si>
  <si>
    <t>85220</t>
  </si>
  <si>
    <t>Jednostki specjalistycznego poradnictwa, mieszkania chronione i ośrodki interwencji kryzysowej</t>
  </si>
  <si>
    <t>01005</t>
  </si>
  <si>
    <t>Prace geodezyjno - urządzeniowe na potrzeby rolnictwa</t>
  </si>
  <si>
    <t>2710</t>
  </si>
  <si>
    <t>0840</t>
  </si>
  <si>
    <t>Wpływy ze sprzedaży wyrobów</t>
  </si>
  <si>
    <t>Zadania z zakresu geodezji i kartografii</t>
  </si>
  <si>
    <t>Wpływy z podatku dochodowego od osób fizycznych</t>
  </si>
  <si>
    <t>Wpływy z podatku dochodowego od osób prawnych</t>
  </si>
  <si>
    <t>Wpływy z innych lokalnych opłat pobieranych przez jednostki samorządu terytorialnego na podstawie odręnych ustaw</t>
  </si>
  <si>
    <t>0650</t>
  </si>
  <si>
    <t>Wpływy z opłat za wydanie prawa jazdy</t>
  </si>
  <si>
    <t>Wpływy od rodziców z tytułu opłaty za pobyt dziecka w pieczy zastępczej</t>
  </si>
  <si>
    <t>Wpływy z pozostałych odsetek</t>
  </si>
  <si>
    <t xml:space="preserve">Wpływy z usług </t>
  </si>
  <si>
    <t>85395</t>
  </si>
  <si>
    <t>Pozostała działalność</t>
  </si>
  <si>
    <t>2057</t>
  </si>
  <si>
    <t>Wpływy z najmu i dzierżawy składników majątkowych Skarbu Państwa, jednostek samorządu terytorialnego lub innych jednostek zaliczanych do sektora finansów publicznych oraz innych umów o podobnym charakterze</t>
  </si>
  <si>
    <t xml:space="preserve">Wpływy z opłat za trwały zarząd, użytkowanie i służebności </t>
  </si>
  <si>
    <t>Dotacje celowe w ramach programów finansowanych z udziałem środków europejskich oraz środków, o których mowa w art. 5 ust. 3 pkt 5 lit. a i b ustawy, lub płatności w ramach budżetu środków europejskich, realizowanych przez jednostki samorządu terytorialnego</t>
  </si>
  <si>
    <t>Wpływy z tytułu grzywien i innych kar pieniężnych od osób prawnych i innych jednostek organizacyjnych</t>
  </si>
  <si>
    <t>150</t>
  </si>
  <si>
    <t>15013</t>
  </si>
  <si>
    <t>2059</t>
  </si>
  <si>
    <t>PRZETWÓRSTWO PRZEMYSŁOWE</t>
  </si>
  <si>
    <t>Rozwój kadr nowoczesnej gospodarki i przedsiębiorczości</t>
  </si>
  <si>
    <t>855</t>
  </si>
  <si>
    <t xml:space="preserve">RODZINA </t>
  </si>
  <si>
    <t>85508</t>
  </si>
  <si>
    <t>85510</t>
  </si>
  <si>
    <t>Działalność placówek opiekuńczo - wychowawczych</t>
  </si>
  <si>
    <t>755</t>
  </si>
  <si>
    <t>WYMIAR SPRAWIEDLIWOŚCI</t>
  </si>
  <si>
    <t>75515</t>
  </si>
  <si>
    <t xml:space="preserve">Nieodpłatna pomoc prawna </t>
  </si>
  <si>
    <t>2160</t>
  </si>
  <si>
    <t>Dotacje celowe otrzymane z budżetu państwa na zadania bieżące z zakresu administracji rządowej zlecone powiatom, związane z realizacją dodatku wychowawczego oraz dodatku do zryczałtowanej kwoty stanowiących pomoc państwa w wychowywaniu dzieci</t>
  </si>
  <si>
    <t>6257</t>
  </si>
  <si>
    <t>2329</t>
  </si>
  <si>
    <t>Dotacje celowe w ramach programów finansowanych z udziałem środków europejskich, o których mowa w art. 5 ust 3 pkt 5 lit. a i b ustawy, lub płatności w ramach budżetu środków europejskich, realizowanych przez jednostki samorządu terytorialnego</t>
  </si>
  <si>
    <t>Dotacje celowe w ramach programów finansowanych z udziałem środków europejskich oraz środków, o których mowa w art.5 ust. 3 pkt 5 lit. a i b ustawy, lub płatności w ramach budżetu środków europejskich, realizowanych przez jednostki samorządu terytorialnego</t>
  </si>
  <si>
    <t>Dotacja celowa na pomoc finansową udzielaną miedzy jednostkami samorządu terytorialnego na dofinansowanie własnych zadań bieżących</t>
  </si>
  <si>
    <t>Dotacja celowa otrzymana z tytułu pomocy finansowej udzielanej między jednostkami samorządu terytorialnego na dofinansowanie własnych zadań bieżących</t>
  </si>
  <si>
    <t>Dotacje celowe w ramach programów finansowanych z udziałem środków europejskich oraz środków, o których mowa w art. 5 ust 3 pkt 5 lit. a i b ustawy, lub płatności w ramach budżetu środków europejskich, realizowanych przez jednostki samorządu terytorialnego</t>
  </si>
  <si>
    <t>DOCHODY  BUDŻETU  POWIATU  WĄGROWIECKIEGO  W  2018  ROKU</t>
  </si>
  <si>
    <t>80195</t>
  </si>
  <si>
    <t>926</t>
  </si>
  <si>
    <t>92601</t>
  </si>
  <si>
    <t xml:space="preserve">Obiekty sportowe </t>
  </si>
  <si>
    <t>Dotacje otrzymane z państwowych funduszy celowych na finansowanie lub dofinansowanie kosztów realizacji inwestycji i zakupów inwestycyjnych jednostek sektora finansów publicznych</t>
  </si>
  <si>
    <t>6260</t>
  </si>
  <si>
    <t>KULTURA FIZYCZNA</t>
  </si>
  <si>
    <t>80115</t>
  </si>
  <si>
    <t>Technika</t>
  </si>
  <si>
    <t>0610</t>
  </si>
  <si>
    <t>Wpływy z opłat egzaminacyjnych oraz opłat za wydawanie świadectw, dyplomów, zaświadczeń, certyfikatów i ich duplikatów</t>
  </si>
  <si>
    <t>752</t>
  </si>
  <si>
    <t xml:space="preserve">OBRONA NARODOWA </t>
  </si>
  <si>
    <t>75212</t>
  </si>
  <si>
    <t xml:space="preserve">Pozostałe wydatki obronne </t>
  </si>
  <si>
    <t>Planowane dochody na 2018 rok</t>
  </si>
  <si>
    <t>6300</t>
  </si>
  <si>
    <t xml:space="preserve">Dotacja celowa otrzymana z tytułu pomocy finansowej udzielanej między jednostkami samorządu terytorialnego na dofinanowanie własnych zadań inwestycyjnych i zakupów inwestycyjnych </t>
  </si>
  <si>
    <t>0800</t>
  </si>
  <si>
    <t>Wpływy z tytułu odszkodowania za przejęte nieruchomości pod inwestycje celu publicznego</t>
  </si>
  <si>
    <t>0940</t>
  </si>
  <si>
    <t>Wpływy z rozliczeń/ zwrotów z lat ubiegłych</t>
  </si>
  <si>
    <t>0960</t>
  </si>
  <si>
    <t>Wpływy z otrzymanych spadków, zapisów i darowizn w postaci piniężnej</t>
  </si>
  <si>
    <t xml:space="preserve">Lekno - Rąbczyn - 2.408.330,  </t>
  </si>
  <si>
    <t>85111</t>
  </si>
  <si>
    <t>Szpitale ogólne</t>
  </si>
  <si>
    <t>6660</t>
  </si>
  <si>
    <t>Wpływy ze zwrotów dotacji oraz płatności wykorzystanych niezgodnie z przeznaczeniem lub wykorzystanych z naruszeniem procedur, o których mowa w art. 184 ustawy, pobranych nienależnie lub w nadmiernej wysokości, dotyczące dochodów majątkowych</t>
  </si>
  <si>
    <t>Wyłączenie z produkcji gruntów rolnych</t>
  </si>
  <si>
    <t>01420</t>
  </si>
  <si>
    <t>0950</t>
  </si>
  <si>
    <t>Wpływy z tytułu kar i odszkodowań wynikających z umów</t>
  </si>
  <si>
    <t>Środki z Funduszu Pracy otrzymane na realizację zadań wynikających z odrębnych ustaw</t>
  </si>
  <si>
    <t>80111</t>
  </si>
  <si>
    <t>Gimnazja specjalne</t>
  </si>
  <si>
    <t>75295</t>
  </si>
  <si>
    <t>85504</t>
  </si>
  <si>
    <t xml:space="preserve">Wspieranie rodziny </t>
  </si>
  <si>
    <t>85334</t>
  </si>
  <si>
    <t>Pomoc dla repatriantów</t>
  </si>
  <si>
    <t xml:space="preserve">do  Uchwały Nr </t>
  </si>
  <si>
    <t xml:space="preserve">z dnia </t>
  </si>
  <si>
    <t>Rady Powiatu Wągrowieckiego</t>
  </si>
  <si>
    <t>/Małgorzata Osuch/</t>
  </si>
  <si>
    <t xml:space="preserve">                                                                                          ………………………………….</t>
  </si>
  <si>
    <t xml:space="preserve">                                                                   Rady Powiatu Wągrowieckiego</t>
  </si>
  <si>
    <t xml:space="preserve">    Przewodnicząca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</si>
</sst>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color theme="1"/>
      <name val="Czcionka tekstu podstawowego"/>
      <family val="2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11"/>
      <color theme="3" tint="0.39997558519241921"/>
      <name val="Times New Roman"/>
      <family val="1"/>
      <charset val="238"/>
    </font>
    <font>
      <sz val="11"/>
      <color theme="3" tint="0.39997558519241921"/>
      <name val="Times New Roman"/>
      <family val="1"/>
      <charset val="238"/>
    </font>
    <font>
      <sz val="11"/>
      <color theme="3" tint="0.39997558519241921"/>
      <name val="Czcionka tekstu podstawowego"/>
      <family val="2"/>
      <charset val="238"/>
    </font>
    <font>
      <sz val="10"/>
      <color theme="3" tint="0.39997558519241921"/>
      <name val="Times New Roman"/>
      <family val="1"/>
      <charset val="238"/>
    </font>
    <font>
      <b/>
      <sz val="12"/>
      <color theme="3" tint="0.39997558519241921"/>
      <name val="Times New Roman"/>
      <family val="1"/>
      <charset val="238"/>
    </font>
    <font>
      <b/>
      <sz val="10"/>
      <color theme="3" tint="0.39997558519241921"/>
      <name val="Times New Roman"/>
      <family val="1"/>
      <charset val="238"/>
    </font>
    <font>
      <sz val="12"/>
      <color theme="3" tint="0.39997558519241921"/>
      <name val="Times New Roman"/>
      <family val="1"/>
      <charset val="238"/>
    </font>
    <font>
      <sz val="16"/>
      <color theme="3" tint="0.3999755851924192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color theme="0"/>
      <name val="Times New Roman"/>
      <family val="1"/>
      <charset val="238"/>
    </font>
    <font>
      <b/>
      <sz val="12"/>
      <color rgb="FFCCFFFF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color rgb="FF00B050"/>
      <name val="Times New Roman"/>
      <family val="1"/>
      <charset val="238"/>
    </font>
    <font>
      <sz val="16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9"/>
      <color theme="3" tint="0.3999755851924192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98">
    <xf numFmtId="0" fontId="0" fillId="0" borderId="0" xfId="0"/>
    <xf numFmtId="49" fontId="5" fillId="0" borderId="2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9" fillId="2" borderId="0" xfId="0" applyFont="1" applyFill="1"/>
    <xf numFmtId="3" fontId="11" fillId="2" borderId="2" xfId="0" applyNumberFormat="1" applyFont="1" applyFill="1" applyBorder="1" applyAlignment="1">
      <alignment vertical="center"/>
    </xf>
    <xf numFmtId="0" fontId="11" fillId="2" borderId="0" xfId="0" applyFont="1" applyFill="1"/>
    <xf numFmtId="49" fontId="10" fillId="2" borderId="7" xfId="0" applyNumberFormat="1" applyFont="1" applyFill="1" applyBorder="1" applyAlignment="1">
      <alignment horizontal="center" vertical="center"/>
    </xf>
    <xf numFmtId="49" fontId="10" fillId="2" borderId="8" xfId="0" applyNumberFormat="1" applyFont="1" applyFill="1" applyBorder="1" applyAlignment="1">
      <alignment horizontal="center" vertical="center"/>
    </xf>
    <xf numFmtId="49" fontId="10" fillId="2" borderId="9" xfId="0" applyNumberFormat="1" applyFont="1" applyFill="1" applyBorder="1" applyAlignment="1">
      <alignment horizontal="center" vertical="center"/>
    </xf>
    <xf numFmtId="3" fontId="12" fillId="2" borderId="2" xfId="0" applyNumberFormat="1" applyFont="1" applyFill="1" applyBorder="1" applyAlignment="1">
      <alignment vertical="center"/>
    </xf>
    <xf numFmtId="49" fontId="10" fillId="2" borderId="6" xfId="0" applyNumberFormat="1" applyFont="1" applyFill="1" applyBorder="1" applyAlignment="1">
      <alignment horizontal="center" vertical="center"/>
    </xf>
    <xf numFmtId="49" fontId="10" fillId="2" borderId="11" xfId="0" applyNumberFormat="1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center" vertical="center"/>
    </xf>
    <xf numFmtId="49" fontId="6" fillId="2" borderId="7" xfId="0" applyNumberFormat="1" applyFont="1" applyFill="1" applyBorder="1" applyAlignment="1">
      <alignment horizontal="center" vertical="center"/>
    </xf>
    <xf numFmtId="49" fontId="6" fillId="2" borderId="9" xfId="0" applyNumberFormat="1" applyFont="1" applyFill="1" applyBorder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/>
    </xf>
    <xf numFmtId="3" fontId="11" fillId="2" borderId="0" xfId="0" applyNumberFormat="1" applyFont="1" applyFill="1" applyBorder="1" applyAlignment="1">
      <alignment vertical="center"/>
    </xf>
    <xf numFmtId="49" fontId="10" fillId="2" borderId="12" xfId="0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vertical="top"/>
    </xf>
    <xf numFmtId="49" fontId="6" fillId="2" borderId="2" xfId="0" applyNumberFormat="1" applyFont="1" applyFill="1" applyBorder="1" applyAlignment="1">
      <alignment horizontal="center" vertical="center"/>
    </xf>
    <xf numFmtId="3" fontId="11" fillId="2" borderId="0" xfId="0" applyNumberFormat="1" applyFont="1" applyFill="1" applyBorder="1" applyAlignment="1">
      <alignment vertical="top"/>
    </xf>
    <xf numFmtId="49" fontId="6" fillId="2" borderId="11" xfId="0" applyNumberFormat="1" applyFont="1" applyFill="1" applyBorder="1" applyAlignment="1">
      <alignment horizontal="center" vertical="center"/>
    </xf>
    <xf numFmtId="49" fontId="6" fillId="2" borderId="15" xfId="0" applyNumberFormat="1" applyFont="1" applyFill="1" applyBorder="1" applyAlignment="1">
      <alignment horizontal="center" vertical="center"/>
    </xf>
    <xf numFmtId="49" fontId="6" fillId="2" borderId="10" xfId="0" applyNumberFormat="1" applyFont="1" applyFill="1" applyBorder="1" applyAlignment="1">
      <alignment horizontal="center" vertical="center"/>
    </xf>
    <xf numFmtId="49" fontId="6" fillId="3" borderId="3" xfId="0" applyNumberFormat="1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/>
    </xf>
    <xf numFmtId="49" fontId="11" fillId="2" borderId="11" xfId="0" applyNumberFormat="1" applyFont="1" applyFill="1" applyBorder="1" applyAlignment="1">
      <alignment horizontal="center" vertical="center"/>
    </xf>
    <xf numFmtId="49" fontId="11" fillId="2" borderId="8" xfId="0" applyNumberFormat="1" applyFont="1" applyFill="1" applyBorder="1" applyAlignment="1">
      <alignment horizontal="center" vertical="center"/>
    </xf>
    <xf numFmtId="49" fontId="11" fillId="2" borderId="14" xfId="0" applyNumberFormat="1" applyFont="1" applyFill="1" applyBorder="1" applyAlignment="1">
      <alignment horizontal="center" vertical="center"/>
    </xf>
    <xf numFmtId="49" fontId="11" fillId="2" borderId="12" xfId="0" applyNumberFormat="1" applyFont="1" applyFill="1" applyBorder="1" applyAlignment="1">
      <alignment horizontal="center" vertical="center"/>
    </xf>
    <xf numFmtId="3" fontId="9" fillId="2" borderId="0" xfId="0" applyNumberFormat="1" applyFont="1" applyFill="1"/>
    <xf numFmtId="49" fontId="11" fillId="2" borderId="0" xfId="0" applyNumberFormat="1" applyFont="1" applyFill="1" applyAlignment="1">
      <alignment horizontal="center" vertical="center"/>
    </xf>
    <xf numFmtId="49" fontId="9" fillId="2" borderId="0" xfId="0" applyNumberFormat="1" applyFont="1" applyFill="1" applyAlignment="1">
      <alignment horizontal="justify" vertical="center"/>
    </xf>
    <xf numFmtId="3" fontId="9" fillId="2" borderId="0" xfId="0" applyNumberFormat="1" applyFont="1" applyFill="1" applyAlignment="1">
      <alignment vertical="center"/>
    </xf>
    <xf numFmtId="49" fontId="13" fillId="2" borderId="0" xfId="0" applyNumberFormat="1" applyFont="1" applyFill="1" applyAlignment="1">
      <alignment horizontal="justify" vertical="center"/>
    </xf>
    <xf numFmtId="3" fontId="13" fillId="2" borderId="0" xfId="0" applyNumberFormat="1" applyFont="1" applyFill="1" applyAlignment="1">
      <alignment horizontal="center" vertical="center"/>
    </xf>
    <xf numFmtId="49" fontId="14" fillId="2" borderId="0" xfId="0" applyNumberFormat="1" applyFont="1" applyFill="1" applyBorder="1" applyAlignment="1">
      <alignment horizontal="center" vertical="center"/>
    </xf>
    <xf numFmtId="49" fontId="14" fillId="2" borderId="2" xfId="0" applyNumberFormat="1" applyFont="1" applyFill="1" applyBorder="1" applyAlignment="1">
      <alignment horizontal="center" vertical="center"/>
    </xf>
    <xf numFmtId="49" fontId="14" fillId="2" borderId="2" xfId="0" applyNumberFormat="1" applyFont="1" applyFill="1" applyBorder="1" applyAlignment="1">
      <alignment horizontal="justify" vertical="center"/>
    </xf>
    <xf numFmtId="3" fontId="14" fillId="2" borderId="2" xfId="0" applyNumberFormat="1" applyFont="1" applyFill="1" applyBorder="1" applyAlignment="1">
      <alignment vertical="center"/>
    </xf>
    <xf numFmtId="49" fontId="14" fillId="2" borderId="10" xfId="0" applyNumberFormat="1" applyFont="1" applyFill="1" applyBorder="1" applyAlignment="1">
      <alignment horizontal="center" vertical="center"/>
    </xf>
    <xf numFmtId="49" fontId="15" fillId="2" borderId="2" xfId="0" applyNumberFormat="1" applyFont="1" applyFill="1" applyBorder="1" applyAlignment="1">
      <alignment horizontal="justify" vertical="center"/>
    </xf>
    <xf numFmtId="3" fontId="15" fillId="2" borderId="2" xfId="0" applyNumberFormat="1" applyFont="1" applyFill="1" applyBorder="1" applyAlignment="1">
      <alignment vertical="center"/>
    </xf>
    <xf numFmtId="49" fontId="14" fillId="3" borderId="2" xfId="0" applyNumberFormat="1" applyFont="1" applyFill="1" applyBorder="1" applyAlignment="1">
      <alignment horizontal="center" vertical="center"/>
    </xf>
    <xf numFmtId="49" fontId="14" fillId="3" borderId="2" xfId="0" applyNumberFormat="1" applyFont="1" applyFill="1" applyBorder="1" applyAlignment="1">
      <alignment horizontal="justify" vertical="center"/>
    </xf>
    <xf numFmtId="49" fontId="14" fillId="2" borderId="12" xfId="0" applyNumberFormat="1" applyFont="1" applyFill="1" applyBorder="1" applyAlignment="1">
      <alignment horizontal="center" vertical="center"/>
    </xf>
    <xf numFmtId="49" fontId="14" fillId="2" borderId="5" xfId="0" applyNumberFormat="1" applyFont="1" applyFill="1" applyBorder="1" applyAlignment="1">
      <alignment horizontal="center" vertical="center"/>
    </xf>
    <xf numFmtId="49" fontId="14" fillId="2" borderId="9" xfId="0" applyNumberFormat="1" applyFont="1" applyFill="1" applyBorder="1" applyAlignment="1">
      <alignment horizontal="center" vertical="center"/>
    </xf>
    <xf numFmtId="49" fontId="14" fillId="2" borderId="9" xfId="0" applyNumberFormat="1" applyFont="1" applyFill="1" applyBorder="1" applyAlignment="1">
      <alignment horizontal="justify" vertical="center"/>
    </xf>
    <xf numFmtId="49" fontId="15" fillId="2" borderId="9" xfId="0" applyNumberFormat="1" applyFont="1" applyFill="1" applyBorder="1" applyAlignment="1">
      <alignment horizontal="justify" vertical="center"/>
    </xf>
    <xf numFmtId="49" fontId="14" fillId="3" borderId="5" xfId="0" applyNumberFormat="1" applyFont="1" applyFill="1" applyBorder="1" applyAlignment="1">
      <alignment horizontal="center" vertical="center"/>
    </xf>
    <xf numFmtId="49" fontId="14" fillId="2" borderId="8" xfId="0" applyNumberFormat="1" applyFont="1" applyFill="1" applyBorder="1" applyAlignment="1">
      <alignment horizontal="center" vertical="center"/>
    </xf>
    <xf numFmtId="49" fontId="14" fillId="2" borderId="6" xfId="0" applyNumberFormat="1" applyFont="1" applyFill="1" applyBorder="1" applyAlignment="1">
      <alignment horizontal="center" vertical="center"/>
    </xf>
    <xf numFmtId="49" fontId="15" fillId="2" borderId="2" xfId="0" applyNumberFormat="1" applyFont="1" applyFill="1" applyBorder="1" applyAlignment="1">
      <alignment horizontal="center" vertical="center"/>
    </xf>
    <xf numFmtId="3" fontId="15" fillId="2" borderId="2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4" fillId="2" borderId="13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/>
    </xf>
    <xf numFmtId="49" fontId="14" fillId="0" borderId="13" xfId="0" applyNumberFormat="1" applyFont="1" applyFill="1" applyBorder="1" applyAlignment="1">
      <alignment horizontal="justify" vertical="center"/>
    </xf>
    <xf numFmtId="49" fontId="14" fillId="0" borderId="5" xfId="0" applyNumberFormat="1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justify" vertical="center"/>
    </xf>
    <xf numFmtId="49" fontId="14" fillId="4" borderId="2" xfId="0" applyNumberFormat="1" applyFont="1" applyFill="1" applyBorder="1" applyAlignment="1">
      <alignment horizontal="justify" vertical="center"/>
    </xf>
    <xf numFmtId="49" fontId="1" fillId="2" borderId="2" xfId="0" applyNumberFormat="1" applyFont="1" applyFill="1" applyBorder="1" applyAlignment="1">
      <alignment horizontal="justify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3" borderId="9" xfId="0" applyNumberFormat="1" applyFont="1" applyFill="1" applyBorder="1" applyAlignment="1">
      <alignment horizontal="center" vertical="center"/>
    </xf>
    <xf numFmtId="49" fontId="14" fillId="3" borderId="9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49" fontId="14" fillId="3" borderId="6" xfId="0" applyNumberFormat="1" applyFont="1" applyFill="1" applyBorder="1" applyAlignment="1">
      <alignment horizontal="center" vertical="center"/>
    </xf>
    <xf numFmtId="49" fontId="15" fillId="2" borderId="5" xfId="0" applyNumberFormat="1" applyFont="1" applyFill="1" applyBorder="1" applyAlignment="1">
      <alignment horizontal="justify" vertical="center"/>
    </xf>
    <xf numFmtId="49" fontId="14" fillId="3" borderId="7" xfId="0" applyNumberFormat="1" applyFont="1" applyFill="1" applyBorder="1" applyAlignment="1">
      <alignment horizontal="center" vertical="center"/>
    </xf>
    <xf numFmtId="49" fontId="14" fillId="3" borderId="9" xfId="0" applyNumberFormat="1" applyFont="1" applyFill="1" applyBorder="1" applyAlignment="1">
      <alignment horizontal="justify" vertical="center"/>
    </xf>
    <xf numFmtId="49" fontId="10" fillId="5" borderId="7" xfId="0" applyNumberFormat="1" applyFont="1" applyFill="1" applyBorder="1" applyAlignment="1">
      <alignment horizontal="center" vertical="center"/>
    </xf>
    <xf numFmtId="49" fontId="10" fillId="5" borderId="8" xfId="0" applyNumberFormat="1" applyFont="1" applyFill="1" applyBorder="1" applyAlignment="1">
      <alignment horizontal="center" vertical="center"/>
    </xf>
    <xf numFmtId="49" fontId="14" fillId="5" borderId="2" xfId="0" applyNumberFormat="1" applyFont="1" applyFill="1" applyBorder="1" applyAlignment="1">
      <alignment horizontal="center" vertical="center"/>
    </xf>
    <xf numFmtId="49" fontId="14" fillId="5" borderId="9" xfId="0" applyNumberFormat="1" applyFont="1" applyFill="1" applyBorder="1" applyAlignment="1">
      <alignment horizontal="center" vertical="center"/>
    </xf>
    <xf numFmtId="49" fontId="14" fillId="5" borderId="9" xfId="0" applyNumberFormat="1" applyFont="1" applyFill="1" applyBorder="1" applyAlignment="1">
      <alignment horizontal="left" vertical="center"/>
    </xf>
    <xf numFmtId="49" fontId="15" fillId="2" borderId="4" xfId="0" applyNumberFormat="1" applyFont="1" applyFill="1" applyBorder="1" applyAlignment="1">
      <alignment horizontal="justify" vertical="center"/>
    </xf>
    <xf numFmtId="49" fontId="14" fillId="3" borderId="2" xfId="0" applyNumberFormat="1" applyFont="1" applyFill="1" applyBorder="1" applyAlignment="1">
      <alignment horizontal="left" vertical="center"/>
    </xf>
    <xf numFmtId="49" fontId="14" fillId="2" borderId="7" xfId="0" applyNumberFormat="1" applyFont="1" applyFill="1" applyBorder="1" applyAlignment="1">
      <alignment horizontal="center" vertical="center"/>
    </xf>
    <xf numFmtId="4" fontId="15" fillId="2" borderId="2" xfId="0" applyNumberFormat="1" applyFont="1" applyFill="1" applyBorder="1" applyAlignment="1">
      <alignment vertical="center"/>
    </xf>
    <xf numFmtId="49" fontId="14" fillId="2" borderId="11" xfId="0" applyNumberFormat="1" applyFont="1" applyFill="1" applyBorder="1" applyAlignment="1">
      <alignment horizontal="center" vertical="center"/>
    </xf>
    <xf numFmtId="49" fontId="14" fillId="2" borderId="14" xfId="0" applyNumberFormat="1" applyFont="1" applyFill="1" applyBorder="1" applyAlignment="1">
      <alignment horizontal="center" vertical="center"/>
    </xf>
    <xf numFmtId="49" fontId="14" fillId="4" borderId="2" xfId="0" applyNumberFormat="1" applyFont="1" applyFill="1" applyBorder="1" applyAlignment="1">
      <alignment horizontal="center" vertical="center"/>
    </xf>
    <xf numFmtId="49" fontId="14" fillId="4" borderId="7" xfId="0" applyNumberFormat="1" applyFont="1" applyFill="1" applyBorder="1" applyAlignment="1">
      <alignment horizontal="center" vertical="center"/>
    </xf>
    <xf numFmtId="49" fontId="14" fillId="4" borderId="9" xfId="0" applyNumberFormat="1" applyFont="1" applyFill="1" applyBorder="1" applyAlignment="1">
      <alignment horizontal="center" vertical="center"/>
    </xf>
    <xf numFmtId="3" fontId="14" fillId="4" borderId="2" xfId="0" applyNumberFormat="1" applyFont="1" applyFill="1" applyBorder="1" applyAlignment="1">
      <alignment vertical="center"/>
    </xf>
    <xf numFmtId="3" fontId="15" fillId="4" borderId="2" xfId="0" applyNumberFormat="1" applyFont="1" applyFill="1" applyBorder="1" applyAlignment="1">
      <alignment vertical="center"/>
    </xf>
    <xf numFmtId="3" fontId="14" fillId="3" borderId="2" xfId="0" applyNumberFormat="1" applyFont="1" applyFill="1" applyBorder="1" applyAlignment="1">
      <alignment vertical="center"/>
    </xf>
    <xf numFmtId="3" fontId="14" fillId="5" borderId="9" xfId="0" applyNumberFormat="1" applyFont="1" applyFill="1" applyBorder="1" applyAlignment="1">
      <alignment vertical="center"/>
    </xf>
    <xf numFmtId="4" fontId="14" fillId="3" borderId="2" xfId="0" applyNumberFormat="1" applyFont="1" applyFill="1" applyBorder="1" applyAlignment="1">
      <alignment vertical="center"/>
    </xf>
    <xf numFmtId="4" fontId="14" fillId="2" borderId="2" xfId="0" applyNumberFormat="1" applyFont="1" applyFill="1" applyBorder="1" applyAlignment="1">
      <alignment vertical="center"/>
    </xf>
    <xf numFmtId="3" fontId="14" fillId="5" borderId="2" xfId="0" applyNumberFormat="1" applyFont="1" applyFill="1" applyBorder="1" applyAlignment="1">
      <alignment vertical="center"/>
    </xf>
    <xf numFmtId="3" fontId="14" fillId="0" borderId="2" xfId="0" applyNumberFormat="1" applyFont="1" applyFill="1" applyBorder="1" applyAlignment="1">
      <alignment vertical="center"/>
    </xf>
    <xf numFmtId="3" fontId="14" fillId="3" borderId="9" xfId="0" applyNumberFormat="1" applyFont="1" applyFill="1" applyBorder="1" applyAlignment="1">
      <alignment vertical="center"/>
    </xf>
    <xf numFmtId="3" fontId="14" fillId="2" borderId="9" xfId="0" applyNumberFormat="1" applyFont="1" applyFill="1" applyBorder="1" applyAlignment="1">
      <alignment vertical="center"/>
    </xf>
    <xf numFmtId="3" fontId="1" fillId="2" borderId="2" xfId="0" applyNumberFormat="1" applyFont="1" applyFill="1" applyBorder="1" applyAlignment="1">
      <alignment vertical="center"/>
    </xf>
    <xf numFmtId="3" fontId="3" fillId="2" borderId="2" xfId="0" applyNumberFormat="1" applyFont="1" applyFill="1" applyBorder="1" applyAlignment="1">
      <alignment vertical="center"/>
    </xf>
    <xf numFmtId="3" fontId="14" fillId="3" borderId="2" xfId="0" applyNumberFormat="1" applyFont="1" applyFill="1" applyBorder="1" applyAlignment="1">
      <alignment vertical="top"/>
    </xf>
    <xf numFmtId="3" fontId="1" fillId="2" borderId="9" xfId="0" applyNumberFormat="1" applyFont="1" applyFill="1" applyBorder="1" applyAlignment="1">
      <alignment vertical="center"/>
    </xf>
    <xf numFmtId="3" fontId="4" fillId="2" borderId="2" xfId="0" applyNumberFormat="1" applyFont="1" applyFill="1" applyBorder="1" applyAlignment="1">
      <alignment vertical="center"/>
    </xf>
    <xf numFmtId="3" fontId="14" fillId="2" borderId="2" xfId="0" applyNumberFormat="1" applyFont="1" applyFill="1" applyBorder="1" applyAlignment="1">
      <alignment vertical="top"/>
    </xf>
    <xf numFmtId="49" fontId="14" fillId="4" borderId="12" xfId="0" applyNumberFormat="1" applyFont="1" applyFill="1" applyBorder="1" applyAlignment="1">
      <alignment horizontal="center" vertical="center"/>
    </xf>
    <xf numFmtId="49" fontId="14" fillId="4" borderId="5" xfId="0" applyNumberFormat="1" applyFont="1" applyFill="1" applyBorder="1" applyAlignment="1">
      <alignment horizontal="center" vertical="center"/>
    </xf>
    <xf numFmtId="3" fontId="16" fillId="4" borderId="2" xfId="0" applyNumberFormat="1" applyFont="1" applyFill="1" applyBorder="1" applyAlignment="1">
      <alignment vertical="center"/>
    </xf>
    <xf numFmtId="49" fontId="14" fillId="5" borderId="12" xfId="0" applyNumberFormat="1" applyFont="1" applyFill="1" applyBorder="1" applyAlignment="1">
      <alignment horizontal="center" vertical="center"/>
    </xf>
    <xf numFmtId="49" fontId="14" fillId="5" borderId="5" xfId="0" applyNumberFormat="1" applyFont="1" applyFill="1" applyBorder="1" applyAlignment="1">
      <alignment horizontal="center" vertical="center"/>
    </xf>
    <xf numFmtId="49" fontId="14" fillId="5" borderId="2" xfId="0" applyNumberFormat="1" applyFont="1" applyFill="1" applyBorder="1" applyAlignment="1">
      <alignment horizontal="justify" vertical="center"/>
    </xf>
    <xf numFmtId="3" fontId="16" fillId="5" borderId="2" xfId="0" applyNumberFormat="1" applyFont="1" applyFill="1" applyBorder="1" applyAlignment="1">
      <alignment vertical="center"/>
    </xf>
    <xf numFmtId="49" fontId="14" fillId="5" borderId="8" xfId="0" applyNumberFormat="1" applyFont="1" applyFill="1" applyBorder="1" applyAlignment="1">
      <alignment horizontal="center" vertical="center"/>
    </xf>
    <xf numFmtId="49" fontId="14" fillId="5" borderId="10" xfId="0" applyNumberFormat="1" applyFont="1" applyFill="1" applyBorder="1" applyAlignment="1">
      <alignment horizontal="center" vertical="center"/>
    </xf>
    <xf numFmtId="49" fontId="1" fillId="5" borderId="7" xfId="0" applyNumberFormat="1" applyFont="1" applyFill="1" applyBorder="1" applyAlignment="1">
      <alignment horizontal="center" vertical="center"/>
    </xf>
    <xf numFmtId="4" fontId="14" fillId="3" borderId="9" xfId="0" applyNumberFormat="1" applyFont="1" applyFill="1" applyBorder="1" applyAlignment="1">
      <alignment vertical="center"/>
    </xf>
    <xf numFmtId="49" fontId="15" fillId="2" borderId="6" xfId="0" applyNumberFormat="1" applyFont="1" applyFill="1" applyBorder="1" applyAlignment="1">
      <alignment horizontal="justify" vertical="center"/>
    </xf>
    <xf numFmtId="3" fontId="15" fillId="2" borderId="6" xfId="0" applyNumberFormat="1" applyFont="1" applyFill="1" applyBorder="1" applyAlignment="1">
      <alignment vertical="center"/>
    </xf>
    <xf numFmtId="49" fontId="14" fillId="0" borderId="12" xfId="0" applyNumberFormat="1" applyFont="1" applyFill="1" applyBorder="1" applyAlignment="1">
      <alignment horizontal="center" vertical="center"/>
    </xf>
    <xf numFmtId="49" fontId="10" fillId="0" borderId="7" xfId="0" applyNumberFormat="1" applyFont="1" applyFill="1" applyBorder="1" applyAlignment="1">
      <alignment horizontal="center" vertical="center"/>
    </xf>
    <xf numFmtId="49" fontId="14" fillId="0" borderId="8" xfId="0" applyNumberFormat="1" applyFont="1" applyFill="1" applyBorder="1" applyAlignment="1">
      <alignment horizontal="center" vertical="center"/>
    </xf>
    <xf numFmtId="49" fontId="1" fillId="4" borderId="9" xfId="0" applyNumberFormat="1" applyFont="1" applyFill="1" applyBorder="1" applyAlignment="1">
      <alignment horizontal="center" vertical="center"/>
    </xf>
    <xf numFmtId="3" fontId="18" fillId="3" borderId="2" xfId="0" applyNumberFormat="1" applyFont="1" applyFill="1" applyBorder="1" applyAlignment="1">
      <alignment vertical="center"/>
    </xf>
    <xf numFmtId="3" fontId="19" fillId="2" borderId="2" xfId="0" applyNumberFormat="1" applyFont="1" applyFill="1" applyBorder="1" applyAlignment="1">
      <alignment vertical="center"/>
    </xf>
    <xf numFmtId="3" fontId="20" fillId="0" borderId="2" xfId="0" applyNumberFormat="1" applyFont="1" applyFill="1" applyBorder="1" applyAlignment="1">
      <alignment vertical="center"/>
    </xf>
    <xf numFmtId="3" fontId="21" fillId="2" borderId="2" xfId="0" applyNumberFormat="1" applyFont="1" applyFill="1" applyBorder="1" applyAlignment="1">
      <alignment vertical="center"/>
    </xf>
    <xf numFmtId="3" fontId="20" fillId="2" borderId="2" xfId="0" applyNumberFormat="1" applyFont="1" applyFill="1" applyBorder="1" applyAlignment="1">
      <alignment vertical="center"/>
    </xf>
    <xf numFmtId="49" fontId="14" fillId="2" borderId="5" xfId="0" applyNumberFormat="1" applyFont="1" applyFill="1" applyBorder="1" applyAlignment="1">
      <alignment horizontal="justify" vertical="center"/>
    </xf>
    <xf numFmtId="49" fontId="1" fillId="4" borderId="3" xfId="0" applyNumberFormat="1" applyFont="1" applyFill="1" applyBorder="1" applyAlignment="1">
      <alignment horizontal="center" vertical="center"/>
    </xf>
    <xf numFmtId="49" fontId="1" fillId="4" borderId="2" xfId="0" applyNumberFormat="1" applyFont="1" applyFill="1" applyBorder="1" applyAlignment="1">
      <alignment horizontal="center" vertical="center"/>
    </xf>
    <xf numFmtId="49" fontId="14" fillId="4" borderId="5" xfId="0" applyNumberFormat="1" applyFont="1" applyFill="1" applyBorder="1" applyAlignment="1">
      <alignment horizontal="justify" vertical="center"/>
    </xf>
    <xf numFmtId="3" fontId="20" fillId="4" borderId="2" xfId="0" applyNumberFormat="1" applyFont="1" applyFill="1" applyBorder="1" applyAlignment="1">
      <alignment vertical="center"/>
    </xf>
    <xf numFmtId="3" fontId="14" fillId="4" borderId="2" xfId="0" applyNumberFormat="1" applyFont="1" applyFill="1" applyBorder="1" applyAlignment="1">
      <alignment vertical="top"/>
    </xf>
    <xf numFmtId="49" fontId="15" fillId="0" borderId="5" xfId="0" applyNumberFormat="1" applyFont="1" applyBorder="1" applyAlignment="1">
      <alignment horizontal="justify" vertical="center"/>
    </xf>
    <xf numFmtId="3" fontId="14" fillId="0" borderId="9" xfId="0" applyNumberFormat="1" applyFont="1" applyFill="1" applyBorder="1" applyAlignment="1">
      <alignment vertical="center"/>
    </xf>
    <xf numFmtId="3" fontId="15" fillId="0" borderId="2" xfId="0" applyNumberFormat="1" applyFont="1" applyFill="1" applyBorder="1" applyAlignment="1">
      <alignment vertical="center"/>
    </xf>
    <xf numFmtId="4" fontId="14" fillId="0" borderId="2" xfId="0" applyNumberFormat="1" applyFont="1" applyFill="1" applyBorder="1" applyAlignment="1">
      <alignment vertical="center"/>
    </xf>
    <xf numFmtId="4" fontId="15" fillId="0" borderId="2" xfId="0" applyNumberFormat="1" applyFont="1" applyFill="1" applyBorder="1" applyAlignment="1">
      <alignment vertical="center"/>
    </xf>
    <xf numFmtId="3" fontId="17" fillId="2" borderId="9" xfId="0" applyNumberFormat="1" applyFont="1" applyFill="1" applyBorder="1" applyAlignment="1">
      <alignment vertical="center"/>
    </xf>
    <xf numFmtId="3" fontId="15" fillId="2" borderId="9" xfId="0" applyNumberFormat="1" applyFont="1" applyFill="1" applyBorder="1" applyAlignment="1">
      <alignment vertical="center"/>
    </xf>
    <xf numFmtId="3" fontId="15" fillId="5" borderId="2" xfId="0" applyNumberFormat="1" applyFont="1" applyFill="1" applyBorder="1" applyAlignment="1">
      <alignment vertical="center"/>
    </xf>
    <xf numFmtId="49" fontId="1" fillId="2" borderId="14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/>
    </xf>
    <xf numFmtId="4" fontId="14" fillId="2" borderId="9" xfId="0" applyNumberFormat="1" applyFont="1" applyFill="1" applyBorder="1" applyAlignment="1">
      <alignment vertical="center"/>
    </xf>
    <xf numFmtId="0" fontId="9" fillId="2" borderId="0" xfId="0" applyFont="1" applyFill="1" applyAlignment="1">
      <alignment vertical="center" wrapText="1"/>
    </xf>
    <xf numFmtId="0" fontId="9" fillId="2" borderId="0" xfId="0" applyFont="1" applyFill="1" applyAlignment="1">
      <alignment wrapText="1"/>
    </xf>
    <xf numFmtId="3" fontId="15" fillId="5" borderId="9" xfId="0" applyNumberFormat="1" applyFont="1" applyFill="1" applyBorder="1" applyAlignment="1">
      <alignment vertical="center"/>
    </xf>
    <xf numFmtId="49" fontId="14" fillId="5" borderId="6" xfId="0" applyNumberFormat="1" applyFont="1" applyFill="1" applyBorder="1" applyAlignment="1">
      <alignment horizontal="center" vertical="center"/>
    </xf>
    <xf numFmtId="49" fontId="14" fillId="5" borderId="13" xfId="0" applyNumberFormat="1" applyFont="1" applyFill="1" applyBorder="1" applyAlignment="1">
      <alignment horizontal="center" vertical="center"/>
    </xf>
    <xf numFmtId="4" fontId="14" fillId="5" borderId="2" xfId="0" applyNumberFormat="1" applyFont="1" applyFill="1" applyBorder="1" applyAlignment="1">
      <alignment vertical="center"/>
    </xf>
    <xf numFmtId="49" fontId="14" fillId="5" borderId="7" xfId="0" applyNumberFormat="1" applyFont="1" applyFill="1" applyBorder="1" applyAlignment="1">
      <alignment horizontal="center" vertical="center"/>
    </xf>
    <xf numFmtId="49" fontId="15" fillId="5" borderId="2" xfId="0" applyNumberFormat="1" applyFont="1" applyFill="1" applyBorder="1" applyAlignment="1">
      <alignment horizontal="justify" vertical="center"/>
    </xf>
    <xf numFmtId="4" fontId="15" fillId="5" borderId="2" xfId="0" applyNumberFormat="1" applyFont="1" applyFill="1" applyBorder="1" applyAlignment="1">
      <alignment vertical="center"/>
    </xf>
    <xf numFmtId="4" fontId="15" fillId="0" borderId="9" xfId="0" applyNumberFormat="1" applyFont="1" applyFill="1" applyBorder="1" applyAlignment="1">
      <alignment vertical="center"/>
    </xf>
    <xf numFmtId="49" fontId="10" fillId="0" borderId="9" xfId="0" applyNumberFormat="1" applyFont="1" applyFill="1" applyBorder="1" applyAlignment="1">
      <alignment horizontal="center" vertical="center"/>
    </xf>
    <xf numFmtId="49" fontId="15" fillId="0" borderId="5" xfId="0" applyNumberFormat="1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/>
    </xf>
    <xf numFmtId="3" fontId="22" fillId="2" borderId="0" xfId="0" applyNumberFormat="1" applyFont="1" applyFill="1" applyAlignment="1">
      <alignment horizontal="left" vertical="center"/>
    </xf>
    <xf numFmtId="49" fontId="22" fillId="2" borderId="0" xfId="0" applyNumberFormat="1" applyFont="1" applyFill="1" applyAlignment="1">
      <alignment horizontal="center" vertical="center"/>
    </xf>
    <xf numFmtId="49" fontId="22" fillId="2" borderId="0" xfId="0" applyNumberFormat="1" applyFont="1" applyFill="1" applyAlignment="1">
      <alignment horizontal="justify" vertical="center"/>
    </xf>
    <xf numFmtId="3" fontId="22" fillId="2" borderId="0" xfId="0" applyNumberFormat="1" applyFont="1" applyFill="1" applyAlignment="1">
      <alignment horizontal="center" vertical="center"/>
    </xf>
    <xf numFmtId="3" fontId="22" fillId="2" borderId="0" xfId="0" applyNumberFormat="1" applyFont="1" applyFill="1" applyAlignment="1">
      <alignment vertical="center"/>
    </xf>
    <xf numFmtId="4" fontId="14" fillId="4" borderId="2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49" fontId="15" fillId="2" borderId="4" xfId="0" applyNumberFormat="1" applyFont="1" applyFill="1" applyBorder="1" applyAlignment="1">
      <alignment horizontal="center" vertical="center"/>
    </xf>
    <xf numFmtId="49" fontId="14" fillId="2" borderId="4" xfId="0" applyNumberFormat="1" applyFont="1" applyFill="1" applyBorder="1" applyAlignment="1">
      <alignment horizontal="justify" vertical="center"/>
    </xf>
    <xf numFmtId="3" fontId="20" fillId="0" borderId="9" xfId="0" applyNumberFormat="1" applyFont="1" applyFill="1" applyBorder="1" applyAlignment="1">
      <alignment vertical="center"/>
    </xf>
    <xf numFmtId="3" fontId="15" fillId="0" borderId="9" xfId="0" applyNumberFormat="1" applyFont="1" applyFill="1" applyBorder="1" applyAlignment="1">
      <alignment vertical="center"/>
    </xf>
    <xf numFmtId="4" fontId="24" fillId="2" borderId="0" xfId="0" applyNumberFormat="1" applyFont="1" applyFill="1"/>
    <xf numFmtId="3" fontId="4" fillId="5" borderId="2" xfId="0" applyNumberFormat="1" applyFont="1" applyFill="1" applyBorder="1" applyAlignment="1">
      <alignment vertical="center"/>
    </xf>
    <xf numFmtId="49" fontId="1" fillId="2" borderId="0" xfId="0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left" vertical="center"/>
    </xf>
    <xf numFmtId="3" fontId="4" fillId="2" borderId="0" xfId="0" applyNumberFormat="1" applyFont="1" applyFill="1" applyAlignment="1">
      <alignment horizontal="center" vertical="center"/>
    </xf>
    <xf numFmtId="49" fontId="22" fillId="2" borderId="0" xfId="0" applyNumberFormat="1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49" fontId="22" fillId="2" borderId="0" xfId="0" applyNumberFormat="1" applyFont="1" applyFill="1" applyAlignment="1">
      <alignment horizontal="left"/>
    </xf>
    <xf numFmtId="0" fontId="22" fillId="0" borderId="0" xfId="0" applyFont="1" applyAlignment="1">
      <alignment horizontal="left"/>
    </xf>
    <xf numFmtId="3" fontId="7" fillId="2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3" fillId="2" borderId="0" xfId="0" applyNumberFormat="1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49" fontId="11" fillId="2" borderId="0" xfId="0" applyNumberFormat="1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6"/>
  <sheetViews>
    <sheetView tabSelected="1" zoomScaleNormal="100" workbookViewId="0">
      <selection sqref="A1:E5"/>
    </sheetView>
  </sheetViews>
  <sheetFormatPr defaultRowHeight="14.25"/>
  <cols>
    <col min="1" max="2" width="9" style="6"/>
    <col min="3" max="3" width="8.25" style="6" customWidth="1"/>
    <col min="4" max="4" width="63.375" style="6" customWidth="1"/>
    <col min="5" max="6" width="14.625" style="6" customWidth="1"/>
    <col min="7" max="7" width="14.375" style="6" customWidth="1"/>
    <col min="8" max="8" width="10.375" style="6" customWidth="1"/>
    <col min="9" max="9" width="10" style="6" customWidth="1"/>
    <col min="10" max="10" width="8.125" style="6" bestFit="1" customWidth="1"/>
    <col min="11" max="258" width="9" style="6"/>
    <col min="259" max="259" width="7.25" style="6" customWidth="1"/>
    <col min="260" max="260" width="63.375" style="6" customWidth="1"/>
    <col min="261" max="261" width="11.25" style="6" customWidth="1"/>
    <col min="262" max="262" width="11.625" style="6" customWidth="1"/>
    <col min="263" max="263" width="14.375" style="6" customWidth="1"/>
    <col min="264" max="265" width="8.5" style="6" bestFit="1" customWidth="1"/>
    <col min="266" max="266" width="8.125" style="6" bestFit="1" customWidth="1"/>
    <col min="267" max="514" width="9" style="6"/>
    <col min="515" max="515" width="7.25" style="6" customWidth="1"/>
    <col min="516" max="516" width="63.375" style="6" customWidth="1"/>
    <col min="517" max="517" width="11.25" style="6" customWidth="1"/>
    <col min="518" max="518" width="11.625" style="6" customWidth="1"/>
    <col min="519" max="519" width="14.375" style="6" customWidth="1"/>
    <col min="520" max="521" width="8.5" style="6" bestFit="1" customWidth="1"/>
    <col min="522" max="522" width="8.125" style="6" bestFit="1" customWidth="1"/>
    <col min="523" max="770" width="9" style="6"/>
    <col min="771" max="771" width="7.25" style="6" customWidth="1"/>
    <col min="772" max="772" width="63.375" style="6" customWidth="1"/>
    <col min="773" max="773" width="11.25" style="6" customWidth="1"/>
    <col min="774" max="774" width="11.625" style="6" customWidth="1"/>
    <col min="775" max="775" width="14.375" style="6" customWidth="1"/>
    <col min="776" max="777" width="8.5" style="6" bestFit="1" customWidth="1"/>
    <col min="778" max="778" width="8.125" style="6" bestFit="1" customWidth="1"/>
    <col min="779" max="1026" width="9" style="6"/>
    <col min="1027" max="1027" width="7.25" style="6" customWidth="1"/>
    <col min="1028" max="1028" width="63.375" style="6" customWidth="1"/>
    <col min="1029" max="1029" width="11.25" style="6" customWidth="1"/>
    <col min="1030" max="1030" width="11.625" style="6" customWidth="1"/>
    <col min="1031" max="1031" width="14.375" style="6" customWidth="1"/>
    <col min="1032" max="1033" width="8.5" style="6" bestFit="1" customWidth="1"/>
    <col min="1034" max="1034" width="8.125" style="6" bestFit="1" customWidth="1"/>
    <col min="1035" max="1282" width="9" style="6"/>
    <col min="1283" max="1283" width="7.25" style="6" customWidth="1"/>
    <col min="1284" max="1284" width="63.375" style="6" customWidth="1"/>
    <col min="1285" max="1285" width="11.25" style="6" customWidth="1"/>
    <col min="1286" max="1286" width="11.625" style="6" customWidth="1"/>
    <col min="1287" max="1287" width="14.375" style="6" customWidth="1"/>
    <col min="1288" max="1289" width="8.5" style="6" bestFit="1" customWidth="1"/>
    <col min="1290" max="1290" width="8.125" style="6" bestFit="1" customWidth="1"/>
    <col min="1291" max="1538" width="9" style="6"/>
    <col min="1539" max="1539" width="7.25" style="6" customWidth="1"/>
    <col min="1540" max="1540" width="63.375" style="6" customWidth="1"/>
    <col min="1541" max="1541" width="11.25" style="6" customWidth="1"/>
    <col min="1542" max="1542" width="11.625" style="6" customWidth="1"/>
    <col min="1543" max="1543" width="14.375" style="6" customWidth="1"/>
    <col min="1544" max="1545" width="8.5" style="6" bestFit="1" customWidth="1"/>
    <col min="1546" max="1546" width="8.125" style="6" bestFit="1" customWidth="1"/>
    <col min="1547" max="1794" width="9" style="6"/>
    <col min="1795" max="1795" width="7.25" style="6" customWidth="1"/>
    <col min="1796" max="1796" width="63.375" style="6" customWidth="1"/>
    <col min="1797" max="1797" width="11.25" style="6" customWidth="1"/>
    <col min="1798" max="1798" width="11.625" style="6" customWidth="1"/>
    <col min="1799" max="1799" width="14.375" style="6" customWidth="1"/>
    <col min="1800" max="1801" width="8.5" style="6" bestFit="1" customWidth="1"/>
    <col min="1802" max="1802" width="8.125" style="6" bestFit="1" customWidth="1"/>
    <col min="1803" max="2050" width="9" style="6"/>
    <col min="2051" max="2051" width="7.25" style="6" customWidth="1"/>
    <col min="2052" max="2052" width="63.375" style="6" customWidth="1"/>
    <col min="2053" max="2053" width="11.25" style="6" customWidth="1"/>
    <col min="2054" max="2054" width="11.625" style="6" customWidth="1"/>
    <col min="2055" max="2055" width="14.375" style="6" customWidth="1"/>
    <col min="2056" max="2057" width="8.5" style="6" bestFit="1" customWidth="1"/>
    <col min="2058" max="2058" width="8.125" style="6" bestFit="1" customWidth="1"/>
    <col min="2059" max="2306" width="9" style="6"/>
    <col min="2307" max="2307" width="7.25" style="6" customWidth="1"/>
    <col min="2308" max="2308" width="63.375" style="6" customWidth="1"/>
    <col min="2309" max="2309" width="11.25" style="6" customWidth="1"/>
    <col min="2310" max="2310" width="11.625" style="6" customWidth="1"/>
    <col min="2311" max="2311" width="14.375" style="6" customWidth="1"/>
    <col min="2312" max="2313" width="8.5" style="6" bestFit="1" customWidth="1"/>
    <col min="2314" max="2314" width="8.125" style="6" bestFit="1" customWidth="1"/>
    <col min="2315" max="2562" width="9" style="6"/>
    <col min="2563" max="2563" width="7.25" style="6" customWidth="1"/>
    <col min="2564" max="2564" width="63.375" style="6" customWidth="1"/>
    <col min="2565" max="2565" width="11.25" style="6" customWidth="1"/>
    <col min="2566" max="2566" width="11.625" style="6" customWidth="1"/>
    <col min="2567" max="2567" width="14.375" style="6" customWidth="1"/>
    <col min="2568" max="2569" width="8.5" style="6" bestFit="1" customWidth="1"/>
    <col min="2570" max="2570" width="8.125" style="6" bestFit="1" customWidth="1"/>
    <col min="2571" max="2818" width="9" style="6"/>
    <col min="2819" max="2819" width="7.25" style="6" customWidth="1"/>
    <col min="2820" max="2820" width="63.375" style="6" customWidth="1"/>
    <col min="2821" max="2821" width="11.25" style="6" customWidth="1"/>
    <col min="2822" max="2822" width="11.625" style="6" customWidth="1"/>
    <col min="2823" max="2823" width="14.375" style="6" customWidth="1"/>
    <col min="2824" max="2825" width="8.5" style="6" bestFit="1" customWidth="1"/>
    <col min="2826" max="2826" width="8.125" style="6" bestFit="1" customWidth="1"/>
    <col min="2827" max="3074" width="9" style="6"/>
    <col min="3075" max="3075" width="7.25" style="6" customWidth="1"/>
    <col min="3076" max="3076" width="63.375" style="6" customWidth="1"/>
    <col min="3077" max="3077" width="11.25" style="6" customWidth="1"/>
    <col min="3078" max="3078" width="11.625" style="6" customWidth="1"/>
    <col min="3079" max="3079" width="14.375" style="6" customWidth="1"/>
    <col min="3080" max="3081" width="8.5" style="6" bestFit="1" customWidth="1"/>
    <col min="3082" max="3082" width="8.125" style="6" bestFit="1" customWidth="1"/>
    <col min="3083" max="3330" width="9" style="6"/>
    <col min="3331" max="3331" width="7.25" style="6" customWidth="1"/>
    <col min="3332" max="3332" width="63.375" style="6" customWidth="1"/>
    <col min="3333" max="3333" width="11.25" style="6" customWidth="1"/>
    <col min="3334" max="3334" width="11.625" style="6" customWidth="1"/>
    <col min="3335" max="3335" width="14.375" style="6" customWidth="1"/>
    <col min="3336" max="3337" width="8.5" style="6" bestFit="1" customWidth="1"/>
    <col min="3338" max="3338" width="8.125" style="6" bestFit="1" customWidth="1"/>
    <col min="3339" max="3586" width="9" style="6"/>
    <col min="3587" max="3587" width="7.25" style="6" customWidth="1"/>
    <col min="3588" max="3588" width="63.375" style="6" customWidth="1"/>
    <col min="3589" max="3589" width="11.25" style="6" customWidth="1"/>
    <col min="3590" max="3590" width="11.625" style="6" customWidth="1"/>
    <col min="3591" max="3591" width="14.375" style="6" customWidth="1"/>
    <col min="3592" max="3593" width="8.5" style="6" bestFit="1" customWidth="1"/>
    <col min="3594" max="3594" width="8.125" style="6" bestFit="1" customWidth="1"/>
    <col min="3595" max="3842" width="9" style="6"/>
    <col min="3843" max="3843" width="7.25" style="6" customWidth="1"/>
    <col min="3844" max="3844" width="63.375" style="6" customWidth="1"/>
    <col min="3845" max="3845" width="11.25" style="6" customWidth="1"/>
    <col min="3846" max="3846" width="11.625" style="6" customWidth="1"/>
    <col min="3847" max="3847" width="14.375" style="6" customWidth="1"/>
    <col min="3848" max="3849" width="8.5" style="6" bestFit="1" customWidth="1"/>
    <col min="3850" max="3850" width="8.125" style="6" bestFit="1" customWidth="1"/>
    <col min="3851" max="4098" width="9" style="6"/>
    <col min="4099" max="4099" width="7.25" style="6" customWidth="1"/>
    <col min="4100" max="4100" width="63.375" style="6" customWidth="1"/>
    <col min="4101" max="4101" width="11.25" style="6" customWidth="1"/>
    <col min="4102" max="4102" width="11.625" style="6" customWidth="1"/>
    <col min="4103" max="4103" width="14.375" style="6" customWidth="1"/>
    <col min="4104" max="4105" width="8.5" style="6" bestFit="1" customWidth="1"/>
    <col min="4106" max="4106" width="8.125" style="6" bestFit="1" customWidth="1"/>
    <col min="4107" max="4354" width="9" style="6"/>
    <col min="4355" max="4355" width="7.25" style="6" customWidth="1"/>
    <col min="4356" max="4356" width="63.375" style="6" customWidth="1"/>
    <col min="4357" max="4357" width="11.25" style="6" customWidth="1"/>
    <col min="4358" max="4358" width="11.625" style="6" customWidth="1"/>
    <col min="4359" max="4359" width="14.375" style="6" customWidth="1"/>
    <col min="4360" max="4361" width="8.5" style="6" bestFit="1" customWidth="1"/>
    <col min="4362" max="4362" width="8.125" style="6" bestFit="1" customWidth="1"/>
    <col min="4363" max="4610" width="9" style="6"/>
    <col min="4611" max="4611" width="7.25" style="6" customWidth="1"/>
    <col min="4612" max="4612" width="63.375" style="6" customWidth="1"/>
    <col min="4613" max="4613" width="11.25" style="6" customWidth="1"/>
    <col min="4614" max="4614" width="11.625" style="6" customWidth="1"/>
    <col min="4615" max="4615" width="14.375" style="6" customWidth="1"/>
    <col min="4616" max="4617" width="8.5" style="6" bestFit="1" customWidth="1"/>
    <col min="4618" max="4618" width="8.125" style="6" bestFit="1" customWidth="1"/>
    <col min="4619" max="4866" width="9" style="6"/>
    <col min="4867" max="4867" width="7.25" style="6" customWidth="1"/>
    <col min="4868" max="4868" width="63.375" style="6" customWidth="1"/>
    <col min="4869" max="4869" width="11.25" style="6" customWidth="1"/>
    <col min="4870" max="4870" width="11.625" style="6" customWidth="1"/>
    <col min="4871" max="4871" width="14.375" style="6" customWidth="1"/>
    <col min="4872" max="4873" width="8.5" style="6" bestFit="1" customWidth="1"/>
    <col min="4874" max="4874" width="8.125" style="6" bestFit="1" customWidth="1"/>
    <col min="4875" max="5122" width="9" style="6"/>
    <col min="5123" max="5123" width="7.25" style="6" customWidth="1"/>
    <col min="5124" max="5124" width="63.375" style="6" customWidth="1"/>
    <col min="5125" max="5125" width="11.25" style="6" customWidth="1"/>
    <col min="5126" max="5126" width="11.625" style="6" customWidth="1"/>
    <col min="5127" max="5127" width="14.375" style="6" customWidth="1"/>
    <col min="5128" max="5129" width="8.5" style="6" bestFit="1" customWidth="1"/>
    <col min="5130" max="5130" width="8.125" style="6" bestFit="1" customWidth="1"/>
    <col min="5131" max="5378" width="9" style="6"/>
    <col min="5379" max="5379" width="7.25" style="6" customWidth="1"/>
    <col min="5380" max="5380" width="63.375" style="6" customWidth="1"/>
    <col min="5381" max="5381" width="11.25" style="6" customWidth="1"/>
    <col min="5382" max="5382" width="11.625" style="6" customWidth="1"/>
    <col min="5383" max="5383" width="14.375" style="6" customWidth="1"/>
    <col min="5384" max="5385" width="8.5" style="6" bestFit="1" customWidth="1"/>
    <col min="5386" max="5386" width="8.125" style="6" bestFit="1" customWidth="1"/>
    <col min="5387" max="5634" width="9" style="6"/>
    <col min="5635" max="5635" width="7.25" style="6" customWidth="1"/>
    <col min="5636" max="5636" width="63.375" style="6" customWidth="1"/>
    <col min="5637" max="5637" width="11.25" style="6" customWidth="1"/>
    <col min="5638" max="5638" width="11.625" style="6" customWidth="1"/>
    <col min="5639" max="5639" width="14.375" style="6" customWidth="1"/>
    <col min="5640" max="5641" width="8.5" style="6" bestFit="1" customWidth="1"/>
    <col min="5642" max="5642" width="8.125" style="6" bestFit="1" customWidth="1"/>
    <col min="5643" max="5890" width="9" style="6"/>
    <col min="5891" max="5891" width="7.25" style="6" customWidth="1"/>
    <col min="5892" max="5892" width="63.375" style="6" customWidth="1"/>
    <col min="5893" max="5893" width="11.25" style="6" customWidth="1"/>
    <col min="5894" max="5894" width="11.625" style="6" customWidth="1"/>
    <col min="5895" max="5895" width="14.375" style="6" customWidth="1"/>
    <col min="5896" max="5897" width="8.5" style="6" bestFit="1" customWidth="1"/>
    <col min="5898" max="5898" width="8.125" style="6" bestFit="1" customWidth="1"/>
    <col min="5899" max="6146" width="9" style="6"/>
    <col min="6147" max="6147" width="7.25" style="6" customWidth="1"/>
    <col min="6148" max="6148" width="63.375" style="6" customWidth="1"/>
    <col min="6149" max="6149" width="11.25" style="6" customWidth="1"/>
    <col min="6150" max="6150" width="11.625" style="6" customWidth="1"/>
    <col min="6151" max="6151" width="14.375" style="6" customWidth="1"/>
    <col min="6152" max="6153" width="8.5" style="6" bestFit="1" customWidth="1"/>
    <col min="6154" max="6154" width="8.125" style="6" bestFit="1" customWidth="1"/>
    <col min="6155" max="6402" width="9" style="6"/>
    <col min="6403" max="6403" width="7.25" style="6" customWidth="1"/>
    <col min="6404" max="6404" width="63.375" style="6" customWidth="1"/>
    <col min="6405" max="6405" width="11.25" style="6" customWidth="1"/>
    <col min="6406" max="6406" width="11.625" style="6" customWidth="1"/>
    <col min="6407" max="6407" width="14.375" style="6" customWidth="1"/>
    <col min="6408" max="6409" width="8.5" style="6" bestFit="1" customWidth="1"/>
    <col min="6410" max="6410" width="8.125" style="6" bestFit="1" customWidth="1"/>
    <col min="6411" max="6658" width="9" style="6"/>
    <col min="6659" max="6659" width="7.25" style="6" customWidth="1"/>
    <col min="6660" max="6660" width="63.375" style="6" customWidth="1"/>
    <col min="6661" max="6661" width="11.25" style="6" customWidth="1"/>
    <col min="6662" max="6662" width="11.625" style="6" customWidth="1"/>
    <col min="6663" max="6663" width="14.375" style="6" customWidth="1"/>
    <col min="6664" max="6665" width="8.5" style="6" bestFit="1" customWidth="1"/>
    <col min="6666" max="6666" width="8.125" style="6" bestFit="1" customWidth="1"/>
    <col min="6667" max="6914" width="9" style="6"/>
    <col min="6915" max="6915" width="7.25" style="6" customWidth="1"/>
    <col min="6916" max="6916" width="63.375" style="6" customWidth="1"/>
    <col min="6917" max="6917" width="11.25" style="6" customWidth="1"/>
    <col min="6918" max="6918" width="11.625" style="6" customWidth="1"/>
    <col min="6919" max="6919" width="14.375" style="6" customWidth="1"/>
    <col min="6920" max="6921" width="8.5" style="6" bestFit="1" customWidth="1"/>
    <col min="6922" max="6922" width="8.125" style="6" bestFit="1" customWidth="1"/>
    <col min="6923" max="7170" width="9" style="6"/>
    <col min="7171" max="7171" width="7.25" style="6" customWidth="1"/>
    <col min="7172" max="7172" width="63.375" style="6" customWidth="1"/>
    <col min="7173" max="7173" width="11.25" style="6" customWidth="1"/>
    <col min="7174" max="7174" width="11.625" style="6" customWidth="1"/>
    <col min="7175" max="7175" width="14.375" style="6" customWidth="1"/>
    <col min="7176" max="7177" width="8.5" style="6" bestFit="1" customWidth="1"/>
    <col min="7178" max="7178" width="8.125" style="6" bestFit="1" customWidth="1"/>
    <col min="7179" max="7426" width="9" style="6"/>
    <col min="7427" max="7427" width="7.25" style="6" customWidth="1"/>
    <col min="7428" max="7428" width="63.375" style="6" customWidth="1"/>
    <col min="7429" max="7429" width="11.25" style="6" customWidth="1"/>
    <col min="7430" max="7430" width="11.625" style="6" customWidth="1"/>
    <col min="7431" max="7431" width="14.375" style="6" customWidth="1"/>
    <col min="7432" max="7433" width="8.5" style="6" bestFit="1" customWidth="1"/>
    <col min="7434" max="7434" width="8.125" style="6" bestFit="1" customWidth="1"/>
    <col min="7435" max="7682" width="9" style="6"/>
    <col min="7683" max="7683" width="7.25" style="6" customWidth="1"/>
    <col min="7684" max="7684" width="63.375" style="6" customWidth="1"/>
    <col min="7685" max="7685" width="11.25" style="6" customWidth="1"/>
    <col min="7686" max="7686" width="11.625" style="6" customWidth="1"/>
    <col min="7687" max="7687" width="14.375" style="6" customWidth="1"/>
    <col min="7688" max="7689" width="8.5" style="6" bestFit="1" customWidth="1"/>
    <col min="7690" max="7690" width="8.125" style="6" bestFit="1" customWidth="1"/>
    <col min="7691" max="7938" width="9" style="6"/>
    <col min="7939" max="7939" width="7.25" style="6" customWidth="1"/>
    <col min="7940" max="7940" width="63.375" style="6" customWidth="1"/>
    <col min="7941" max="7941" width="11.25" style="6" customWidth="1"/>
    <col min="7942" max="7942" width="11.625" style="6" customWidth="1"/>
    <col min="7943" max="7943" width="14.375" style="6" customWidth="1"/>
    <col min="7944" max="7945" width="8.5" style="6" bestFit="1" customWidth="1"/>
    <col min="7946" max="7946" width="8.125" style="6" bestFit="1" customWidth="1"/>
    <col min="7947" max="8194" width="9" style="6"/>
    <col min="8195" max="8195" width="7.25" style="6" customWidth="1"/>
    <col min="8196" max="8196" width="63.375" style="6" customWidth="1"/>
    <col min="8197" max="8197" width="11.25" style="6" customWidth="1"/>
    <col min="8198" max="8198" width="11.625" style="6" customWidth="1"/>
    <col min="8199" max="8199" width="14.375" style="6" customWidth="1"/>
    <col min="8200" max="8201" width="8.5" style="6" bestFit="1" customWidth="1"/>
    <col min="8202" max="8202" width="8.125" style="6" bestFit="1" customWidth="1"/>
    <col min="8203" max="8450" width="9" style="6"/>
    <col min="8451" max="8451" width="7.25" style="6" customWidth="1"/>
    <col min="8452" max="8452" width="63.375" style="6" customWidth="1"/>
    <col min="8453" max="8453" width="11.25" style="6" customWidth="1"/>
    <col min="8454" max="8454" width="11.625" style="6" customWidth="1"/>
    <col min="8455" max="8455" width="14.375" style="6" customWidth="1"/>
    <col min="8456" max="8457" width="8.5" style="6" bestFit="1" customWidth="1"/>
    <col min="8458" max="8458" width="8.125" style="6" bestFit="1" customWidth="1"/>
    <col min="8459" max="8706" width="9" style="6"/>
    <col min="8707" max="8707" width="7.25" style="6" customWidth="1"/>
    <col min="8708" max="8708" width="63.375" style="6" customWidth="1"/>
    <col min="8709" max="8709" width="11.25" style="6" customWidth="1"/>
    <col min="8710" max="8710" width="11.625" style="6" customWidth="1"/>
    <col min="8711" max="8711" width="14.375" style="6" customWidth="1"/>
    <col min="8712" max="8713" width="8.5" style="6" bestFit="1" customWidth="1"/>
    <col min="8714" max="8714" width="8.125" style="6" bestFit="1" customWidth="1"/>
    <col min="8715" max="8962" width="9" style="6"/>
    <col min="8963" max="8963" width="7.25" style="6" customWidth="1"/>
    <col min="8964" max="8964" width="63.375" style="6" customWidth="1"/>
    <col min="8965" max="8965" width="11.25" style="6" customWidth="1"/>
    <col min="8966" max="8966" width="11.625" style="6" customWidth="1"/>
    <col min="8967" max="8967" width="14.375" style="6" customWidth="1"/>
    <col min="8968" max="8969" width="8.5" style="6" bestFit="1" customWidth="1"/>
    <col min="8970" max="8970" width="8.125" style="6" bestFit="1" customWidth="1"/>
    <col min="8971" max="9218" width="9" style="6"/>
    <col min="9219" max="9219" width="7.25" style="6" customWidth="1"/>
    <col min="9220" max="9220" width="63.375" style="6" customWidth="1"/>
    <col min="9221" max="9221" width="11.25" style="6" customWidth="1"/>
    <col min="9222" max="9222" width="11.625" style="6" customWidth="1"/>
    <col min="9223" max="9223" width="14.375" style="6" customWidth="1"/>
    <col min="9224" max="9225" width="8.5" style="6" bestFit="1" customWidth="1"/>
    <col min="9226" max="9226" width="8.125" style="6" bestFit="1" customWidth="1"/>
    <col min="9227" max="9474" width="9" style="6"/>
    <col min="9475" max="9475" width="7.25" style="6" customWidth="1"/>
    <col min="9476" max="9476" width="63.375" style="6" customWidth="1"/>
    <col min="9477" max="9477" width="11.25" style="6" customWidth="1"/>
    <col min="9478" max="9478" width="11.625" style="6" customWidth="1"/>
    <col min="9479" max="9479" width="14.375" style="6" customWidth="1"/>
    <col min="9480" max="9481" width="8.5" style="6" bestFit="1" customWidth="1"/>
    <col min="9482" max="9482" width="8.125" style="6" bestFit="1" customWidth="1"/>
    <col min="9483" max="9730" width="9" style="6"/>
    <col min="9731" max="9731" width="7.25" style="6" customWidth="1"/>
    <col min="9732" max="9732" width="63.375" style="6" customWidth="1"/>
    <col min="9733" max="9733" width="11.25" style="6" customWidth="1"/>
    <col min="9734" max="9734" width="11.625" style="6" customWidth="1"/>
    <col min="9735" max="9735" width="14.375" style="6" customWidth="1"/>
    <col min="9736" max="9737" width="8.5" style="6" bestFit="1" customWidth="1"/>
    <col min="9738" max="9738" width="8.125" style="6" bestFit="1" customWidth="1"/>
    <col min="9739" max="9986" width="9" style="6"/>
    <col min="9987" max="9987" width="7.25" style="6" customWidth="1"/>
    <col min="9988" max="9988" width="63.375" style="6" customWidth="1"/>
    <col min="9989" max="9989" width="11.25" style="6" customWidth="1"/>
    <col min="9990" max="9990" width="11.625" style="6" customWidth="1"/>
    <col min="9991" max="9991" width="14.375" style="6" customWidth="1"/>
    <col min="9992" max="9993" width="8.5" style="6" bestFit="1" customWidth="1"/>
    <col min="9994" max="9994" width="8.125" style="6" bestFit="1" customWidth="1"/>
    <col min="9995" max="10242" width="9" style="6"/>
    <col min="10243" max="10243" width="7.25" style="6" customWidth="1"/>
    <col min="10244" max="10244" width="63.375" style="6" customWidth="1"/>
    <col min="10245" max="10245" width="11.25" style="6" customWidth="1"/>
    <col min="10246" max="10246" width="11.625" style="6" customWidth="1"/>
    <col min="10247" max="10247" width="14.375" style="6" customWidth="1"/>
    <col min="10248" max="10249" width="8.5" style="6" bestFit="1" customWidth="1"/>
    <col min="10250" max="10250" width="8.125" style="6" bestFit="1" customWidth="1"/>
    <col min="10251" max="10498" width="9" style="6"/>
    <col min="10499" max="10499" width="7.25" style="6" customWidth="1"/>
    <col min="10500" max="10500" width="63.375" style="6" customWidth="1"/>
    <col min="10501" max="10501" width="11.25" style="6" customWidth="1"/>
    <col min="10502" max="10502" width="11.625" style="6" customWidth="1"/>
    <col min="10503" max="10503" width="14.375" style="6" customWidth="1"/>
    <col min="10504" max="10505" width="8.5" style="6" bestFit="1" customWidth="1"/>
    <col min="10506" max="10506" width="8.125" style="6" bestFit="1" customWidth="1"/>
    <col min="10507" max="10754" width="9" style="6"/>
    <col min="10755" max="10755" width="7.25" style="6" customWidth="1"/>
    <col min="10756" max="10756" width="63.375" style="6" customWidth="1"/>
    <col min="10757" max="10757" width="11.25" style="6" customWidth="1"/>
    <col min="10758" max="10758" width="11.625" style="6" customWidth="1"/>
    <col min="10759" max="10759" width="14.375" style="6" customWidth="1"/>
    <col min="10760" max="10761" width="8.5" style="6" bestFit="1" customWidth="1"/>
    <col min="10762" max="10762" width="8.125" style="6" bestFit="1" customWidth="1"/>
    <col min="10763" max="11010" width="9" style="6"/>
    <col min="11011" max="11011" width="7.25" style="6" customWidth="1"/>
    <col min="11012" max="11012" width="63.375" style="6" customWidth="1"/>
    <col min="11013" max="11013" width="11.25" style="6" customWidth="1"/>
    <col min="11014" max="11014" width="11.625" style="6" customWidth="1"/>
    <col min="11015" max="11015" width="14.375" style="6" customWidth="1"/>
    <col min="11016" max="11017" width="8.5" style="6" bestFit="1" customWidth="1"/>
    <col min="11018" max="11018" width="8.125" style="6" bestFit="1" customWidth="1"/>
    <col min="11019" max="11266" width="9" style="6"/>
    <col min="11267" max="11267" width="7.25" style="6" customWidth="1"/>
    <col min="11268" max="11268" width="63.375" style="6" customWidth="1"/>
    <col min="11269" max="11269" width="11.25" style="6" customWidth="1"/>
    <col min="11270" max="11270" width="11.625" style="6" customWidth="1"/>
    <col min="11271" max="11271" width="14.375" style="6" customWidth="1"/>
    <col min="11272" max="11273" width="8.5" style="6" bestFit="1" customWidth="1"/>
    <col min="11274" max="11274" width="8.125" style="6" bestFit="1" customWidth="1"/>
    <col min="11275" max="11522" width="9" style="6"/>
    <col min="11523" max="11523" width="7.25" style="6" customWidth="1"/>
    <col min="11524" max="11524" width="63.375" style="6" customWidth="1"/>
    <col min="11525" max="11525" width="11.25" style="6" customWidth="1"/>
    <col min="11526" max="11526" width="11.625" style="6" customWidth="1"/>
    <col min="11527" max="11527" width="14.375" style="6" customWidth="1"/>
    <col min="11528" max="11529" width="8.5" style="6" bestFit="1" customWidth="1"/>
    <col min="11530" max="11530" width="8.125" style="6" bestFit="1" customWidth="1"/>
    <col min="11531" max="11778" width="9" style="6"/>
    <col min="11779" max="11779" width="7.25" style="6" customWidth="1"/>
    <col min="11780" max="11780" width="63.375" style="6" customWidth="1"/>
    <col min="11781" max="11781" width="11.25" style="6" customWidth="1"/>
    <col min="11782" max="11782" width="11.625" style="6" customWidth="1"/>
    <col min="11783" max="11783" width="14.375" style="6" customWidth="1"/>
    <col min="11784" max="11785" width="8.5" style="6" bestFit="1" customWidth="1"/>
    <col min="11786" max="11786" width="8.125" style="6" bestFit="1" customWidth="1"/>
    <col min="11787" max="12034" width="9" style="6"/>
    <col min="12035" max="12035" width="7.25" style="6" customWidth="1"/>
    <col min="12036" max="12036" width="63.375" style="6" customWidth="1"/>
    <col min="12037" max="12037" width="11.25" style="6" customWidth="1"/>
    <col min="12038" max="12038" width="11.625" style="6" customWidth="1"/>
    <col min="12039" max="12039" width="14.375" style="6" customWidth="1"/>
    <col min="12040" max="12041" width="8.5" style="6" bestFit="1" customWidth="1"/>
    <col min="12042" max="12042" width="8.125" style="6" bestFit="1" customWidth="1"/>
    <col min="12043" max="12290" width="9" style="6"/>
    <col min="12291" max="12291" width="7.25" style="6" customWidth="1"/>
    <col min="12292" max="12292" width="63.375" style="6" customWidth="1"/>
    <col min="12293" max="12293" width="11.25" style="6" customWidth="1"/>
    <col min="12294" max="12294" width="11.625" style="6" customWidth="1"/>
    <col min="12295" max="12295" width="14.375" style="6" customWidth="1"/>
    <col min="12296" max="12297" width="8.5" style="6" bestFit="1" customWidth="1"/>
    <col min="12298" max="12298" width="8.125" style="6" bestFit="1" customWidth="1"/>
    <col min="12299" max="12546" width="9" style="6"/>
    <col min="12547" max="12547" width="7.25" style="6" customWidth="1"/>
    <col min="12548" max="12548" width="63.375" style="6" customWidth="1"/>
    <col min="12549" max="12549" width="11.25" style="6" customWidth="1"/>
    <col min="12550" max="12550" width="11.625" style="6" customWidth="1"/>
    <col min="12551" max="12551" width="14.375" style="6" customWidth="1"/>
    <col min="12552" max="12553" width="8.5" style="6" bestFit="1" customWidth="1"/>
    <col min="12554" max="12554" width="8.125" style="6" bestFit="1" customWidth="1"/>
    <col min="12555" max="12802" width="9" style="6"/>
    <col min="12803" max="12803" width="7.25" style="6" customWidth="1"/>
    <col min="12804" max="12804" width="63.375" style="6" customWidth="1"/>
    <col min="12805" max="12805" width="11.25" style="6" customWidth="1"/>
    <col min="12806" max="12806" width="11.625" style="6" customWidth="1"/>
    <col min="12807" max="12807" width="14.375" style="6" customWidth="1"/>
    <col min="12808" max="12809" width="8.5" style="6" bestFit="1" customWidth="1"/>
    <col min="12810" max="12810" width="8.125" style="6" bestFit="1" customWidth="1"/>
    <col min="12811" max="13058" width="9" style="6"/>
    <col min="13059" max="13059" width="7.25" style="6" customWidth="1"/>
    <col min="13060" max="13060" width="63.375" style="6" customWidth="1"/>
    <col min="13061" max="13061" width="11.25" style="6" customWidth="1"/>
    <col min="13062" max="13062" width="11.625" style="6" customWidth="1"/>
    <col min="13063" max="13063" width="14.375" style="6" customWidth="1"/>
    <col min="13064" max="13065" width="8.5" style="6" bestFit="1" customWidth="1"/>
    <col min="13066" max="13066" width="8.125" style="6" bestFit="1" customWidth="1"/>
    <col min="13067" max="13314" width="9" style="6"/>
    <col min="13315" max="13315" width="7.25" style="6" customWidth="1"/>
    <col min="13316" max="13316" width="63.375" style="6" customWidth="1"/>
    <col min="13317" max="13317" width="11.25" style="6" customWidth="1"/>
    <col min="13318" max="13318" width="11.625" style="6" customWidth="1"/>
    <col min="13319" max="13319" width="14.375" style="6" customWidth="1"/>
    <col min="13320" max="13321" width="8.5" style="6" bestFit="1" customWidth="1"/>
    <col min="13322" max="13322" width="8.125" style="6" bestFit="1" customWidth="1"/>
    <col min="13323" max="13570" width="9" style="6"/>
    <col min="13571" max="13571" width="7.25" style="6" customWidth="1"/>
    <col min="13572" max="13572" width="63.375" style="6" customWidth="1"/>
    <col min="13573" max="13573" width="11.25" style="6" customWidth="1"/>
    <col min="13574" max="13574" width="11.625" style="6" customWidth="1"/>
    <col min="13575" max="13575" width="14.375" style="6" customWidth="1"/>
    <col min="13576" max="13577" width="8.5" style="6" bestFit="1" customWidth="1"/>
    <col min="13578" max="13578" width="8.125" style="6" bestFit="1" customWidth="1"/>
    <col min="13579" max="13826" width="9" style="6"/>
    <col min="13827" max="13827" width="7.25" style="6" customWidth="1"/>
    <col min="13828" max="13828" width="63.375" style="6" customWidth="1"/>
    <col min="13829" max="13829" width="11.25" style="6" customWidth="1"/>
    <col min="13830" max="13830" width="11.625" style="6" customWidth="1"/>
    <col min="13831" max="13831" width="14.375" style="6" customWidth="1"/>
    <col min="13832" max="13833" width="8.5" style="6" bestFit="1" customWidth="1"/>
    <col min="13834" max="13834" width="8.125" style="6" bestFit="1" customWidth="1"/>
    <col min="13835" max="14082" width="9" style="6"/>
    <col min="14083" max="14083" width="7.25" style="6" customWidth="1"/>
    <col min="14084" max="14084" width="63.375" style="6" customWidth="1"/>
    <col min="14085" max="14085" width="11.25" style="6" customWidth="1"/>
    <col min="14086" max="14086" width="11.625" style="6" customWidth="1"/>
    <col min="14087" max="14087" width="14.375" style="6" customWidth="1"/>
    <col min="14088" max="14089" width="8.5" style="6" bestFit="1" customWidth="1"/>
    <col min="14090" max="14090" width="8.125" style="6" bestFit="1" customWidth="1"/>
    <col min="14091" max="14338" width="9" style="6"/>
    <col min="14339" max="14339" width="7.25" style="6" customWidth="1"/>
    <col min="14340" max="14340" width="63.375" style="6" customWidth="1"/>
    <col min="14341" max="14341" width="11.25" style="6" customWidth="1"/>
    <col min="14342" max="14342" width="11.625" style="6" customWidth="1"/>
    <col min="14343" max="14343" width="14.375" style="6" customWidth="1"/>
    <col min="14344" max="14345" width="8.5" style="6" bestFit="1" customWidth="1"/>
    <col min="14346" max="14346" width="8.125" style="6" bestFit="1" customWidth="1"/>
    <col min="14347" max="14594" width="9" style="6"/>
    <col min="14595" max="14595" width="7.25" style="6" customWidth="1"/>
    <col min="14596" max="14596" width="63.375" style="6" customWidth="1"/>
    <col min="14597" max="14597" width="11.25" style="6" customWidth="1"/>
    <col min="14598" max="14598" width="11.625" style="6" customWidth="1"/>
    <col min="14599" max="14599" width="14.375" style="6" customWidth="1"/>
    <col min="14600" max="14601" width="8.5" style="6" bestFit="1" customWidth="1"/>
    <col min="14602" max="14602" width="8.125" style="6" bestFit="1" customWidth="1"/>
    <col min="14603" max="14850" width="9" style="6"/>
    <col min="14851" max="14851" width="7.25" style="6" customWidth="1"/>
    <col min="14852" max="14852" width="63.375" style="6" customWidth="1"/>
    <col min="14853" max="14853" width="11.25" style="6" customWidth="1"/>
    <col min="14854" max="14854" width="11.625" style="6" customWidth="1"/>
    <col min="14855" max="14855" width="14.375" style="6" customWidth="1"/>
    <col min="14856" max="14857" width="8.5" style="6" bestFit="1" customWidth="1"/>
    <col min="14858" max="14858" width="8.125" style="6" bestFit="1" customWidth="1"/>
    <col min="14859" max="15106" width="9" style="6"/>
    <col min="15107" max="15107" width="7.25" style="6" customWidth="1"/>
    <col min="15108" max="15108" width="63.375" style="6" customWidth="1"/>
    <col min="15109" max="15109" width="11.25" style="6" customWidth="1"/>
    <col min="15110" max="15110" width="11.625" style="6" customWidth="1"/>
    <col min="15111" max="15111" width="14.375" style="6" customWidth="1"/>
    <col min="15112" max="15113" width="8.5" style="6" bestFit="1" customWidth="1"/>
    <col min="15114" max="15114" width="8.125" style="6" bestFit="1" customWidth="1"/>
    <col min="15115" max="15362" width="9" style="6"/>
    <col min="15363" max="15363" width="7.25" style="6" customWidth="1"/>
    <col min="15364" max="15364" width="63.375" style="6" customWidth="1"/>
    <col min="15365" max="15365" width="11.25" style="6" customWidth="1"/>
    <col min="15366" max="15366" width="11.625" style="6" customWidth="1"/>
    <col min="15367" max="15367" width="14.375" style="6" customWidth="1"/>
    <col min="15368" max="15369" width="8.5" style="6" bestFit="1" customWidth="1"/>
    <col min="15370" max="15370" width="8.125" style="6" bestFit="1" customWidth="1"/>
    <col min="15371" max="15618" width="9" style="6"/>
    <col min="15619" max="15619" width="7.25" style="6" customWidth="1"/>
    <col min="15620" max="15620" width="63.375" style="6" customWidth="1"/>
    <col min="15621" max="15621" width="11.25" style="6" customWidth="1"/>
    <col min="15622" max="15622" width="11.625" style="6" customWidth="1"/>
    <col min="15623" max="15623" width="14.375" style="6" customWidth="1"/>
    <col min="15624" max="15625" width="8.5" style="6" bestFit="1" customWidth="1"/>
    <col min="15626" max="15626" width="8.125" style="6" bestFit="1" customWidth="1"/>
    <col min="15627" max="15874" width="9" style="6"/>
    <col min="15875" max="15875" width="7.25" style="6" customWidth="1"/>
    <col min="15876" max="15876" width="63.375" style="6" customWidth="1"/>
    <col min="15877" max="15877" width="11.25" style="6" customWidth="1"/>
    <col min="15878" max="15878" width="11.625" style="6" customWidth="1"/>
    <col min="15879" max="15879" width="14.375" style="6" customWidth="1"/>
    <col min="15880" max="15881" width="8.5" style="6" bestFit="1" customWidth="1"/>
    <col min="15882" max="15882" width="8.125" style="6" bestFit="1" customWidth="1"/>
    <col min="15883" max="16130" width="9" style="6"/>
    <col min="16131" max="16131" width="7.25" style="6" customWidth="1"/>
    <col min="16132" max="16132" width="63.375" style="6" customWidth="1"/>
    <col min="16133" max="16133" width="11.25" style="6" customWidth="1"/>
    <col min="16134" max="16134" width="11.625" style="6" customWidth="1"/>
    <col min="16135" max="16135" width="14.375" style="6" customWidth="1"/>
    <col min="16136" max="16137" width="8.5" style="6" bestFit="1" customWidth="1"/>
    <col min="16138" max="16138" width="8.125" style="6" bestFit="1" customWidth="1"/>
    <col min="16139" max="16384" width="9" style="6"/>
  </cols>
  <sheetData>
    <row r="1" spans="1:10" ht="18.75">
      <c r="A1" s="175"/>
      <c r="B1" s="175"/>
      <c r="C1" s="175"/>
      <c r="D1" s="175"/>
      <c r="E1" s="175"/>
      <c r="F1" s="176" t="s">
        <v>0</v>
      </c>
      <c r="G1" s="176"/>
      <c r="H1" s="5"/>
      <c r="I1" s="5"/>
      <c r="J1" s="5"/>
    </row>
    <row r="2" spans="1:10" ht="15">
      <c r="A2" s="175"/>
      <c r="B2" s="175"/>
      <c r="C2" s="175"/>
      <c r="D2" s="175"/>
      <c r="E2" s="175"/>
      <c r="F2" s="177" t="s">
        <v>237</v>
      </c>
      <c r="G2" s="177"/>
      <c r="H2" s="5"/>
      <c r="I2" s="5"/>
      <c r="J2" s="5"/>
    </row>
    <row r="3" spans="1:10" ht="15">
      <c r="A3" s="175"/>
      <c r="B3" s="175"/>
      <c r="C3" s="175"/>
      <c r="D3" s="175"/>
      <c r="E3" s="175"/>
      <c r="F3" s="177" t="s">
        <v>238</v>
      </c>
      <c r="G3" s="177"/>
      <c r="H3" s="5"/>
      <c r="I3" s="5"/>
      <c r="J3" s="5"/>
    </row>
    <row r="4" spans="1:10" ht="15">
      <c r="A4" s="175"/>
      <c r="B4" s="175"/>
      <c r="C4" s="175"/>
      <c r="D4" s="175"/>
      <c r="E4" s="175"/>
      <c r="F4" s="177" t="s">
        <v>239</v>
      </c>
      <c r="G4" s="177"/>
      <c r="H4" s="5"/>
      <c r="I4" s="5"/>
      <c r="J4" s="5"/>
    </row>
    <row r="5" spans="1:10" ht="15">
      <c r="A5" s="175"/>
      <c r="B5" s="175"/>
      <c r="C5" s="175"/>
      <c r="D5" s="175"/>
      <c r="E5" s="175"/>
      <c r="F5" s="178"/>
      <c r="G5" s="178"/>
      <c r="H5" s="5"/>
      <c r="I5" s="5"/>
      <c r="J5" s="5"/>
    </row>
    <row r="6" spans="1:10" ht="18.75">
      <c r="A6" s="187" t="s">
        <v>195</v>
      </c>
      <c r="B6" s="187"/>
      <c r="C6" s="187"/>
      <c r="D6" s="187"/>
      <c r="E6" s="187"/>
      <c r="F6" s="187"/>
      <c r="G6" s="187"/>
      <c r="H6" s="5"/>
      <c r="I6" s="5"/>
      <c r="J6" s="5"/>
    </row>
    <row r="7" spans="1:10" ht="18.75">
      <c r="A7" s="187" t="s">
        <v>1</v>
      </c>
      <c r="B7" s="187"/>
      <c r="C7" s="187"/>
      <c r="D7" s="187"/>
      <c r="E7" s="187"/>
      <c r="F7" s="187"/>
      <c r="G7" s="187"/>
      <c r="H7" s="5"/>
      <c r="I7" s="5"/>
      <c r="J7" s="5"/>
    </row>
    <row r="8" spans="1:10" ht="15">
      <c r="A8" s="4"/>
      <c r="B8" s="4"/>
      <c r="C8" s="4"/>
      <c r="D8" s="4"/>
      <c r="E8" s="4"/>
      <c r="F8" s="4"/>
      <c r="G8" s="4"/>
      <c r="H8" s="5"/>
      <c r="I8" s="5"/>
      <c r="J8" s="5"/>
    </row>
    <row r="9" spans="1:10" ht="15">
      <c r="A9" s="188" t="s">
        <v>146</v>
      </c>
      <c r="B9" s="188"/>
      <c r="C9" s="188"/>
      <c r="D9" s="188"/>
      <c r="E9" s="188"/>
      <c r="F9" s="188"/>
      <c r="G9" s="188"/>
      <c r="H9" s="5"/>
      <c r="I9" s="5"/>
      <c r="J9" s="5"/>
    </row>
    <row r="10" spans="1:10" ht="15">
      <c r="A10" s="189" t="s">
        <v>2</v>
      </c>
      <c r="B10" s="189" t="s">
        <v>3</v>
      </c>
      <c r="C10" s="189" t="s">
        <v>4</v>
      </c>
      <c r="D10" s="189" t="s">
        <v>5</v>
      </c>
      <c r="E10" s="190" t="s">
        <v>211</v>
      </c>
      <c r="F10" s="191"/>
      <c r="G10" s="192"/>
      <c r="H10" s="7"/>
      <c r="I10" s="7"/>
      <c r="J10" s="7"/>
    </row>
    <row r="11" spans="1:10" ht="15">
      <c r="A11" s="189"/>
      <c r="B11" s="189"/>
      <c r="C11" s="189"/>
      <c r="D11" s="189"/>
      <c r="E11" s="193" t="s">
        <v>6</v>
      </c>
      <c r="F11" s="193" t="s">
        <v>7</v>
      </c>
      <c r="G11" s="193"/>
      <c r="H11" s="7"/>
      <c r="I11" s="7"/>
      <c r="J11" s="7"/>
    </row>
    <row r="12" spans="1:10" ht="15">
      <c r="A12" s="189"/>
      <c r="B12" s="189"/>
      <c r="C12" s="189"/>
      <c r="D12" s="189"/>
      <c r="E12" s="193"/>
      <c r="F12" s="3" t="s">
        <v>8</v>
      </c>
      <c r="G12" s="3" t="s">
        <v>9</v>
      </c>
      <c r="H12" s="7"/>
      <c r="I12" s="7"/>
      <c r="J12" s="7"/>
    </row>
    <row r="13" spans="1:10" ht="15">
      <c r="A13" s="1">
        <v>1</v>
      </c>
      <c r="B13" s="1">
        <v>2</v>
      </c>
      <c r="C13" s="1">
        <v>3</v>
      </c>
      <c r="D13" s="1">
        <v>4</v>
      </c>
      <c r="E13" s="2">
        <v>5</v>
      </c>
      <c r="F13" s="2">
        <v>6</v>
      </c>
      <c r="G13" s="2">
        <v>7</v>
      </c>
      <c r="H13" s="5"/>
      <c r="I13" s="5"/>
      <c r="J13" s="5"/>
    </row>
    <row r="14" spans="1:10" ht="24" customHeight="1">
      <c r="A14" s="47" t="s">
        <v>10</v>
      </c>
      <c r="B14" s="47"/>
      <c r="C14" s="47"/>
      <c r="D14" s="84" t="s">
        <v>11</v>
      </c>
      <c r="E14" s="96">
        <f t="shared" ref="E14:E35" si="0">SUM(F14:G14)</f>
        <v>29570</v>
      </c>
      <c r="F14" s="96">
        <f>F15+F17</f>
        <v>9570</v>
      </c>
      <c r="G14" s="94">
        <f>G17</f>
        <v>20000</v>
      </c>
      <c r="H14" s="8" t="e">
        <f>IF(#REF!&gt;0,#REF!," ")</f>
        <v>#REF!</v>
      </c>
      <c r="I14" s="9"/>
      <c r="J14" s="9"/>
    </row>
    <row r="15" spans="1:10" ht="24" customHeight="1">
      <c r="A15" s="78"/>
      <c r="B15" s="80" t="s">
        <v>151</v>
      </c>
      <c r="C15" s="81"/>
      <c r="D15" s="82" t="s">
        <v>152</v>
      </c>
      <c r="E15" s="95">
        <f>F15</f>
        <v>3000</v>
      </c>
      <c r="F15" s="95">
        <f>F16</f>
        <v>3000</v>
      </c>
      <c r="G15" s="95"/>
      <c r="H15" s="20"/>
      <c r="I15" s="9"/>
      <c r="J15" s="9"/>
    </row>
    <row r="16" spans="1:10" ht="51" customHeight="1">
      <c r="A16" s="78"/>
      <c r="B16" s="79"/>
      <c r="C16" s="81" t="s">
        <v>12</v>
      </c>
      <c r="D16" s="83" t="s">
        <v>13</v>
      </c>
      <c r="E16" s="149">
        <f>F16</f>
        <v>3000</v>
      </c>
      <c r="F16" s="149">
        <v>3000</v>
      </c>
      <c r="G16" s="95"/>
      <c r="H16" s="20"/>
      <c r="I16" s="9"/>
      <c r="J16" s="9"/>
    </row>
    <row r="17" spans="1:10" ht="21" customHeight="1">
      <c r="A17" s="78"/>
      <c r="B17" s="80" t="s">
        <v>226</v>
      </c>
      <c r="C17" s="81"/>
      <c r="D17" s="170" t="s">
        <v>225</v>
      </c>
      <c r="E17" s="95">
        <f>G17+F17</f>
        <v>26570</v>
      </c>
      <c r="F17" s="95">
        <f>SUM(F18:F19)</f>
        <v>6570</v>
      </c>
      <c r="G17" s="95">
        <f>G19</f>
        <v>20000</v>
      </c>
      <c r="H17" s="20"/>
      <c r="I17" s="9"/>
      <c r="J17" s="9"/>
    </row>
    <row r="18" spans="1:10" ht="48" customHeight="1">
      <c r="A18" s="78"/>
      <c r="B18" s="115"/>
      <c r="C18" s="81" t="s">
        <v>153</v>
      </c>
      <c r="D18" s="83" t="s">
        <v>193</v>
      </c>
      <c r="E18" s="149">
        <f>F18</f>
        <v>6570</v>
      </c>
      <c r="F18" s="149">
        <v>6570</v>
      </c>
      <c r="G18" s="149"/>
      <c r="H18" s="20"/>
      <c r="I18" s="9"/>
      <c r="J18" s="9"/>
    </row>
    <row r="19" spans="1:10" ht="45.75" customHeight="1">
      <c r="A19" s="78"/>
      <c r="B19" s="79"/>
      <c r="C19" s="81" t="s">
        <v>212</v>
      </c>
      <c r="D19" s="75" t="s">
        <v>213</v>
      </c>
      <c r="E19" s="149">
        <f>G19</f>
        <v>20000</v>
      </c>
      <c r="F19" s="149"/>
      <c r="G19" s="149">
        <v>20000</v>
      </c>
      <c r="H19" s="20"/>
      <c r="I19" s="9"/>
      <c r="J19" s="9"/>
    </row>
    <row r="20" spans="1:10" ht="24.75" customHeight="1">
      <c r="A20" s="47" t="s">
        <v>16</v>
      </c>
      <c r="B20" s="89"/>
      <c r="C20" s="47"/>
      <c r="D20" s="66" t="s">
        <v>17</v>
      </c>
      <c r="E20" s="94">
        <f t="shared" si="0"/>
        <v>291096</v>
      </c>
      <c r="F20" s="94">
        <f>F21</f>
        <v>291096</v>
      </c>
      <c r="G20" s="94" t="s">
        <v>146</v>
      </c>
      <c r="H20" s="8" t="str">
        <f>IF($G21&gt;0,$G21," ")</f>
        <v/>
      </c>
      <c r="I20" s="7"/>
      <c r="J20" s="7"/>
    </row>
    <row r="21" spans="1:10" ht="20.25" customHeight="1">
      <c r="A21" s="56"/>
      <c r="B21" s="41" t="s">
        <v>18</v>
      </c>
      <c r="C21" s="41"/>
      <c r="D21" s="42" t="s">
        <v>19</v>
      </c>
      <c r="E21" s="43">
        <f t="shared" si="0"/>
        <v>291096</v>
      </c>
      <c r="F21" s="43">
        <f>F22</f>
        <v>291096</v>
      </c>
      <c r="G21" s="46" t="str">
        <f>IF(G22&gt;0,G22,"")</f>
        <v/>
      </c>
      <c r="H21" s="7"/>
      <c r="I21" s="7"/>
      <c r="J21" s="7"/>
    </row>
    <row r="22" spans="1:10" ht="48" customHeight="1">
      <c r="A22" s="51"/>
      <c r="B22" s="41"/>
      <c r="C22" s="41" t="s">
        <v>20</v>
      </c>
      <c r="D22" s="45" t="s">
        <v>21</v>
      </c>
      <c r="E22" s="46">
        <f t="shared" si="0"/>
        <v>291096</v>
      </c>
      <c r="F22" s="46">
        <v>291096</v>
      </c>
      <c r="G22" s="46"/>
      <c r="H22" s="7"/>
      <c r="I22" s="7"/>
      <c r="J22" s="7"/>
    </row>
    <row r="23" spans="1:10" ht="22.5" customHeight="1">
      <c r="A23" s="90" t="s">
        <v>172</v>
      </c>
      <c r="B23" s="91"/>
      <c r="C23" s="89"/>
      <c r="D23" s="66" t="s">
        <v>175</v>
      </c>
      <c r="E23" s="166">
        <f>F23</f>
        <v>27600</v>
      </c>
      <c r="F23" s="166">
        <f>F24</f>
        <v>27600</v>
      </c>
      <c r="G23" s="93"/>
      <c r="H23" s="7"/>
      <c r="I23" s="7"/>
      <c r="J23" s="7"/>
    </row>
    <row r="24" spans="1:10" ht="27.75" customHeight="1">
      <c r="A24" s="56"/>
      <c r="B24" s="55" t="s">
        <v>173</v>
      </c>
      <c r="C24" s="41"/>
      <c r="D24" s="42" t="s">
        <v>176</v>
      </c>
      <c r="E24" s="97">
        <f>F24</f>
        <v>27600</v>
      </c>
      <c r="F24" s="97">
        <f>SUM(F25:F26)</f>
        <v>27600</v>
      </c>
      <c r="G24" s="46"/>
      <c r="H24" s="7"/>
      <c r="I24" s="7"/>
      <c r="J24" s="7"/>
    </row>
    <row r="25" spans="1:10" ht="61.5" customHeight="1">
      <c r="A25" s="87"/>
      <c r="B25" s="56"/>
      <c r="C25" s="50" t="s">
        <v>167</v>
      </c>
      <c r="D25" s="45" t="s">
        <v>194</v>
      </c>
      <c r="E25" s="86">
        <f>F25</f>
        <v>24157.32</v>
      </c>
      <c r="F25" s="86">
        <v>24157.32</v>
      </c>
      <c r="G25" s="46"/>
      <c r="H25" s="7"/>
      <c r="I25" s="7"/>
      <c r="J25" s="7"/>
    </row>
    <row r="26" spans="1:10" ht="64.5" customHeight="1">
      <c r="A26" s="88"/>
      <c r="B26" s="51"/>
      <c r="C26" s="50" t="s">
        <v>174</v>
      </c>
      <c r="D26" s="45" t="s">
        <v>194</v>
      </c>
      <c r="E26" s="86">
        <f>F26</f>
        <v>3442.68</v>
      </c>
      <c r="F26" s="86">
        <v>3442.68</v>
      </c>
      <c r="G26" s="46" t="s">
        <v>146</v>
      </c>
      <c r="H26" s="7"/>
      <c r="I26" s="7"/>
      <c r="J26" s="7"/>
    </row>
    <row r="27" spans="1:10" ht="26.25" customHeight="1">
      <c r="A27" s="71" t="s">
        <v>22</v>
      </c>
      <c r="B27" s="71"/>
      <c r="C27" s="47"/>
      <c r="D27" s="48" t="s">
        <v>23</v>
      </c>
      <c r="E27" s="94">
        <f t="shared" si="0"/>
        <v>3471496</v>
      </c>
      <c r="F27" s="94">
        <f>F28</f>
        <v>279166</v>
      </c>
      <c r="G27" s="94">
        <f>SUM(G28)</f>
        <v>3192330</v>
      </c>
      <c r="H27" s="8">
        <f>IF($G28&gt;0,$G28," ")</f>
        <v>3192330</v>
      </c>
      <c r="I27" s="9"/>
      <c r="J27" s="9"/>
    </row>
    <row r="28" spans="1:10" ht="26.25" customHeight="1">
      <c r="A28" s="56"/>
      <c r="B28" s="44" t="s">
        <v>24</v>
      </c>
      <c r="C28" s="50"/>
      <c r="D28" s="42" t="s">
        <v>25</v>
      </c>
      <c r="E28" s="43">
        <f>SUM(F28:G28)</f>
        <v>3471496</v>
      </c>
      <c r="F28" s="43">
        <f>SUM(F29:F33)</f>
        <v>279166</v>
      </c>
      <c r="G28" s="43">
        <f>SUM(G29:G34)</f>
        <v>3192330</v>
      </c>
      <c r="H28" s="7"/>
      <c r="I28" s="7"/>
      <c r="J28" s="7"/>
    </row>
    <row r="29" spans="1:10" ht="20.25" customHeight="1">
      <c r="A29" s="85"/>
      <c r="B29" s="56"/>
      <c r="C29" s="50" t="s">
        <v>154</v>
      </c>
      <c r="D29" s="45" t="s">
        <v>155</v>
      </c>
      <c r="E29" s="46">
        <f t="shared" si="0"/>
        <v>12005</v>
      </c>
      <c r="F29" s="46">
        <v>12005</v>
      </c>
      <c r="G29" s="126" t="s">
        <v>146</v>
      </c>
      <c r="H29" s="7"/>
      <c r="I29" s="7"/>
      <c r="J29" s="7"/>
    </row>
    <row r="30" spans="1:10" ht="20.25" customHeight="1">
      <c r="A30" s="85"/>
      <c r="B30" s="85"/>
      <c r="C30" s="50" t="s">
        <v>218</v>
      </c>
      <c r="D30" s="45" t="s">
        <v>219</v>
      </c>
      <c r="E30" s="46">
        <f>F30</f>
        <v>50000</v>
      </c>
      <c r="F30" s="46">
        <v>50000</v>
      </c>
      <c r="G30" s="126"/>
      <c r="H30" s="7"/>
      <c r="I30" s="7"/>
      <c r="J30" s="7"/>
    </row>
    <row r="31" spans="1:10" ht="21.75" customHeight="1">
      <c r="A31" s="10"/>
      <c r="B31" s="10"/>
      <c r="C31" s="50" t="s">
        <v>26</v>
      </c>
      <c r="D31" s="45" t="s">
        <v>27</v>
      </c>
      <c r="E31" s="46">
        <f t="shared" si="0"/>
        <v>16161</v>
      </c>
      <c r="F31" s="46">
        <v>16161</v>
      </c>
      <c r="G31" s="46"/>
      <c r="H31" s="7"/>
      <c r="I31" s="7"/>
      <c r="J31" s="7"/>
    </row>
    <row r="32" spans="1:10" ht="39.75" customHeight="1">
      <c r="A32" s="10"/>
      <c r="B32" s="10"/>
      <c r="C32" s="50" t="s">
        <v>153</v>
      </c>
      <c r="D32" s="45" t="s">
        <v>192</v>
      </c>
      <c r="E32" s="46">
        <f t="shared" si="0"/>
        <v>201000</v>
      </c>
      <c r="F32" s="46">
        <f>180000+21000</f>
        <v>201000</v>
      </c>
      <c r="G32" s="46"/>
      <c r="H32" s="7"/>
      <c r="I32" s="7"/>
      <c r="J32" s="7"/>
    </row>
    <row r="33" spans="1:10" ht="63" customHeight="1">
      <c r="A33" s="10"/>
      <c r="B33" s="10"/>
      <c r="C33" s="50" t="s">
        <v>188</v>
      </c>
      <c r="D33" s="45" t="s">
        <v>190</v>
      </c>
      <c r="E33" s="46">
        <f>G33</f>
        <v>2408330</v>
      </c>
      <c r="F33" s="46"/>
      <c r="G33" s="46">
        <v>2408330</v>
      </c>
      <c r="H33" s="147" t="s">
        <v>220</v>
      </c>
      <c r="I33" s="148"/>
      <c r="J33" s="148"/>
    </row>
    <row r="34" spans="1:10" ht="52.5" customHeight="1">
      <c r="A34" s="10"/>
      <c r="B34" s="10"/>
      <c r="C34" s="50" t="s">
        <v>212</v>
      </c>
      <c r="D34" s="75" t="s">
        <v>213</v>
      </c>
      <c r="E34" s="46">
        <f>G34</f>
        <v>784000</v>
      </c>
      <c r="F34" s="46"/>
      <c r="G34" s="46">
        <f>754000+30000</f>
        <v>784000</v>
      </c>
      <c r="H34" s="147"/>
      <c r="I34" s="148"/>
      <c r="J34" s="148"/>
    </row>
    <row r="35" spans="1:10" ht="24.75" customHeight="1">
      <c r="A35" s="47" t="s">
        <v>28</v>
      </c>
      <c r="B35" s="47"/>
      <c r="C35" s="47"/>
      <c r="D35" s="48" t="s">
        <v>29</v>
      </c>
      <c r="E35" s="94">
        <f t="shared" si="0"/>
        <v>1199398</v>
      </c>
      <c r="F35" s="92">
        <f>F36</f>
        <v>1014219</v>
      </c>
      <c r="G35" s="92">
        <f>SUM(G37:G41)</f>
        <v>185179</v>
      </c>
      <c r="H35" s="8">
        <f>IF($G36&gt;0,$G36," ")</f>
        <v>185179</v>
      </c>
      <c r="I35" s="9"/>
      <c r="J35" s="9"/>
    </row>
    <row r="36" spans="1:10" ht="23.25" customHeight="1">
      <c r="A36" s="68"/>
      <c r="B36" s="50" t="s">
        <v>30</v>
      </c>
      <c r="C36" s="41"/>
      <c r="D36" s="42" t="s">
        <v>31</v>
      </c>
      <c r="E36" s="43">
        <f t="shared" ref="E36:E41" si="1">SUM(F36:G36)</f>
        <v>1199398</v>
      </c>
      <c r="F36" s="43">
        <f>SUM(F37:F41)</f>
        <v>1014219</v>
      </c>
      <c r="G36" s="98">
        <f>SUM(G37:G41)</f>
        <v>185179</v>
      </c>
      <c r="H36" s="7"/>
      <c r="I36" s="7"/>
      <c r="J36" s="7"/>
    </row>
    <row r="37" spans="1:10" ht="47.25" customHeight="1">
      <c r="A37" s="73"/>
      <c r="B37" s="56"/>
      <c r="C37" s="50" t="s">
        <v>12</v>
      </c>
      <c r="D37" s="45" t="s">
        <v>13</v>
      </c>
      <c r="E37" s="46">
        <f t="shared" si="1"/>
        <v>250486</v>
      </c>
      <c r="F37" s="46">
        <f>230486+20000</f>
        <v>250486</v>
      </c>
      <c r="G37" s="126"/>
      <c r="H37" s="7"/>
      <c r="I37" s="7"/>
      <c r="J37" s="7"/>
    </row>
    <row r="38" spans="1:10" ht="48" customHeight="1">
      <c r="A38" s="17"/>
      <c r="B38" s="10"/>
      <c r="C38" s="50" t="s">
        <v>32</v>
      </c>
      <c r="D38" s="45" t="s">
        <v>168</v>
      </c>
      <c r="E38" s="46">
        <f t="shared" si="1"/>
        <v>485483</v>
      </c>
      <c r="F38" s="46">
        <v>485483</v>
      </c>
      <c r="G38" s="126"/>
      <c r="H38" s="7"/>
      <c r="I38" s="7"/>
      <c r="J38" s="7"/>
    </row>
    <row r="39" spans="1:10" ht="27" customHeight="1">
      <c r="A39" s="17"/>
      <c r="B39" s="10"/>
      <c r="C39" s="50" t="s">
        <v>33</v>
      </c>
      <c r="D39" s="45" t="s">
        <v>169</v>
      </c>
      <c r="E39" s="46">
        <f t="shared" si="1"/>
        <v>5000</v>
      </c>
      <c r="F39" s="46">
        <v>5000</v>
      </c>
      <c r="G39" s="126"/>
      <c r="H39" s="7"/>
      <c r="I39" s="7"/>
      <c r="J39" s="7"/>
    </row>
    <row r="40" spans="1:10" ht="31.5" customHeight="1">
      <c r="A40" s="17"/>
      <c r="B40" s="10"/>
      <c r="C40" s="50" t="s">
        <v>214</v>
      </c>
      <c r="D40" s="45" t="s">
        <v>215</v>
      </c>
      <c r="E40" s="46">
        <f>G40</f>
        <v>185179</v>
      </c>
      <c r="F40" s="46"/>
      <c r="G40" s="46">
        <v>185179</v>
      </c>
      <c r="H40" s="7"/>
      <c r="I40" s="7"/>
      <c r="J40" s="7"/>
    </row>
    <row r="41" spans="1:10" ht="34.5" customHeight="1">
      <c r="A41" s="18"/>
      <c r="B41" s="12"/>
      <c r="C41" s="50" t="s">
        <v>14</v>
      </c>
      <c r="D41" s="45" t="s">
        <v>15</v>
      </c>
      <c r="E41" s="46">
        <f t="shared" si="1"/>
        <v>273250</v>
      </c>
      <c r="F41" s="46">
        <v>273250</v>
      </c>
      <c r="G41" s="46"/>
      <c r="H41" s="7"/>
      <c r="I41" s="7"/>
      <c r="J41" s="7"/>
    </row>
    <row r="42" spans="1:10" ht="18.75" customHeight="1">
      <c r="A42" s="74" t="s">
        <v>34</v>
      </c>
      <c r="B42" s="47"/>
      <c r="C42" s="47"/>
      <c r="D42" s="48" t="s">
        <v>35</v>
      </c>
      <c r="E42" s="96">
        <f>SUM(F42:G42)</f>
        <v>6822756.1600000001</v>
      </c>
      <c r="F42" s="96">
        <f>F49+F43</f>
        <v>6822756.1600000001</v>
      </c>
      <c r="G42" s="94" t="str">
        <f>G43</f>
        <v xml:space="preserve"> </v>
      </c>
      <c r="H42" s="8" t="e">
        <f>IF((#REF!+#REF!+$G49)&gt;0,(#REF!+#REF!+$G49)," ")</f>
        <v>#REF!</v>
      </c>
      <c r="I42" s="7"/>
      <c r="J42" s="7"/>
    </row>
    <row r="43" spans="1:10" ht="23.25" customHeight="1">
      <c r="A43" s="19"/>
      <c r="B43" s="61" t="s">
        <v>36</v>
      </c>
      <c r="C43" s="62"/>
      <c r="D43" s="63" t="s">
        <v>156</v>
      </c>
      <c r="E43" s="139">
        <f>F43</f>
        <v>6419696.1600000001</v>
      </c>
      <c r="F43" s="139">
        <f>F44+F46+F47+F48</f>
        <v>6419696.1600000001</v>
      </c>
      <c r="G43" s="99" t="s">
        <v>146</v>
      </c>
      <c r="H43" s="20"/>
      <c r="I43" s="7"/>
      <c r="J43" s="7"/>
    </row>
    <row r="44" spans="1:10" ht="68.25" customHeight="1">
      <c r="A44" s="157"/>
      <c r="B44" s="64"/>
      <c r="C44" s="64" t="s">
        <v>167</v>
      </c>
      <c r="D44" s="65" t="s">
        <v>170</v>
      </c>
      <c r="E44" s="140">
        <f>F44</f>
        <v>4865359.93</v>
      </c>
      <c r="F44" s="140">
        <v>4865359.93</v>
      </c>
      <c r="G44" s="127"/>
      <c r="H44" s="20"/>
      <c r="I44" s="7"/>
      <c r="J44" s="7"/>
    </row>
    <row r="45" spans="1:10" ht="21" customHeight="1">
      <c r="A45" s="159" t="s">
        <v>45</v>
      </c>
      <c r="B45" s="158" t="s">
        <v>46</v>
      </c>
      <c r="C45" s="158" t="s">
        <v>47</v>
      </c>
      <c r="D45" s="159" t="s">
        <v>48</v>
      </c>
      <c r="E45" s="160">
        <v>5</v>
      </c>
      <c r="F45" s="160">
        <v>6</v>
      </c>
      <c r="G45" s="160">
        <v>7</v>
      </c>
      <c r="H45" s="20"/>
      <c r="I45" s="7"/>
      <c r="J45" s="7"/>
    </row>
    <row r="46" spans="1:10" ht="47.45" customHeight="1">
      <c r="A46" s="19"/>
      <c r="B46" s="123"/>
      <c r="C46" s="121" t="s">
        <v>12</v>
      </c>
      <c r="D46" s="53" t="s">
        <v>13</v>
      </c>
      <c r="E46" s="172">
        <f>F46</f>
        <v>131100</v>
      </c>
      <c r="F46" s="172">
        <v>131100</v>
      </c>
      <c r="G46" s="171"/>
      <c r="H46" s="20"/>
      <c r="I46" s="7"/>
      <c r="J46" s="7"/>
    </row>
    <row r="47" spans="1:10" ht="43.5" customHeight="1">
      <c r="A47" s="122"/>
      <c r="B47" s="123"/>
      <c r="C47" s="121" t="s">
        <v>189</v>
      </c>
      <c r="D47" s="53" t="s">
        <v>104</v>
      </c>
      <c r="E47" s="156">
        <f>F47</f>
        <v>813236.23</v>
      </c>
      <c r="F47" s="156">
        <v>813236.23</v>
      </c>
      <c r="G47" s="137"/>
      <c r="H47" s="20"/>
      <c r="I47" s="7"/>
      <c r="J47" s="7"/>
    </row>
    <row r="48" spans="1:10" ht="20.25" customHeight="1">
      <c r="A48" s="122"/>
      <c r="B48" s="121"/>
      <c r="C48" s="64" t="s">
        <v>95</v>
      </c>
      <c r="D48" s="65" t="s">
        <v>164</v>
      </c>
      <c r="E48" s="138">
        <f>F48</f>
        <v>610000</v>
      </c>
      <c r="F48" s="138">
        <v>610000</v>
      </c>
      <c r="G48" s="127"/>
      <c r="H48" s="20"/>
      <c r="I48" s="7"/>
      <c r="J48" s="7"/>
    </row>
    <row r="49" spans="1:10" ht="21" customHeight="1">
      <c r="A49" s="10"/>
      <c r="B49" s="49" t="s">
        <v>39</v>
      </c>
      <c r="C49" s="49"/>
      <c r="D49" s="52" t="s">
        <v>40</v>
      </c>
      <c r="E49" s="101">
        <f t="shared" ref="E49:E52" si="2">SUM(F49:G49)</f>
        <v>403060</v>
      </c>
      <c r="F49" s="101">
        <f>SUM(F50:F51)</f>
        <v>403060</v>
      </c>
      <c r="G49" s="142" t="str">
        <f>IF((G50+G51)&gt;0,(G50+G51),"")</f>
        <v/>
      </c>
      <c r="H49" s="7"/>
      <c r="I49" s="7"/>
      <c r="J49" s="7"/>
    </row>
    <row r="50" spans="1:10" ht="49.5" customHeight="1">
      <c r="A50" s="10"/>
      <c r="B50" s="55"/>
      <c r="C50" s="50" t="s">
        <v>12</v>
      </c>
      <c r="D50" s="45" t="s">
        <v>13</v>
      </c>
      <c r="E50" s="46">
        <f t="shared" si="2"/>
        <v>403000</v>
      </c>
      <c r="F50" s="46">
        <v>403000</v>
      </c>
      <c r="G50" s="126"/>
      <c r="H50" s="7"/>
      <c r="I50" s="7"/>
      <c r="J50" s="7"/>
    </row>
    <row r="51" spans="1:10" ht="18.75" customHeight="1">
      <c r="A51" s="12"/>
      <c r="B51" s="21"/>
      <c r="C51" s="50" t="s">
        <v>26</v>
      </c>
      <c r="D51" s="45" t="s">
        <v>27</v>
      </c>
      <c r="E51" s="46">
        <f t="shared" si="2"/>
        <v>60</v>
      </c>
      <c r="F51" s="46">
        <v>60</v>
      </c>
      <c r="G51" s="126"/>
      <c r="H51" s="7"/>
      <c r="I51" s="7"/>
      <c r="J51" s="7"/>
    </row>
    <row r="52" spans="1:10" ht="23.25" customHeight="1">
      <c r="A52" s="76" t="s">
        <v>41</v>
      </c>
      <c r="B52" s="71"/>
      <c r="C52" s="71"/>
      <c r="D52" s="77" t="s">
        <v>42</v>
      </c>
      <c r="E52" s="118">
        <f t="shared" si="2"/>
        <v>162795</v>
      </c>
      <c r="F52" s="118">
        <f>F53+F55+F58</f>
        <v>162795</v>
      </c>
      <c r="G52" s="100" t="s">
        <v>146</v>
      </c>
      <c r="H52" s="8" t="e">
        <f>IF(($G53+#REF!+$G55+$G58)&gt;0,($G53+#REF!+$G55+$G58)," ")</f>
        <v>#VALUE!</v>
      </c>
      <c r="I52" s="7"/>
      <c r="J52" s="7"/>
    </row>
    <row r="53" spans="1:10" ht="22.5" customHeight="1">
      <c r="A53" s="14"/>
      <c r="B53" s="60" t="s">
        <v>43</v>
      </c>
      <c r="C53" s="41"/>
      <c r="D53" s="42" t="s">
        <v>44</v>
      </c>
      <c r="E53" s="43">
        <f>+SUM(F53:G53)</f>
        <v>124726</v>
      </c>
      <c r="F53" s="43">
        <f>F54</f>
        <v>124726</v>
      </c>
      <c r="G53" s="46" t="s">
        <v>146</v>
      </c>
      <c r="H53" s="7"/>
      <c r="I53" s="7"/>
      <c r="J53" s="7"/>
    </row>
    <row r="54" spans="1:10" ht="48.75" customHeight="1">
      <c r="A54" s="10"/>
      <c r="B54" s="50"/>
      <c r="C54" s="50" t="s">
        <v>12</v>
      </c>
      <c r="D54" s="45" t="s">
        <v>13</v>
      </c>
      <c r="E54" s="46">
        <f t="shared" ref="E54:E60" si="3">SUM(F54:G54)</f>
        <v>124726</v>
      </c>
      <c r="F54" s="46">
        <v>124726</v>
      </c>
      <c r="G54" s="46"/>
      <c r="H54" s="7"/>
      <c r="I54" s="7"/>
      <c r="J54" s="7"/>
    </row>
    <row r="55" spans="1:10" ht="20.25" customHeight="1">
      <c r="A55" s="10"/>
      <c r="B55" s="49" t="s">
        <v>49</v>
      </c>
      <c r="C55" s="51"/>
      <c r="D55" s="52" t="s">
        <v>50</v>
      </c>
      <c r="E55" s="101">
        <f>SUM(F55:G55)</f>
        <v>16069</v>
      </c>
      <c r="F55" s="101">
        <f>SUM(F56:F57)</f>
        <v>16069</v>
      </c>
      <c r="G55" s="101" t="s">
        <v>146</v>
      </c>
      <c r="H55" s="7"/>
      <c r="I55" s="7"/>
      <c r="J55" s="7"/>
    </row>
    <row r="56" spans="1:10" ht="18.75" customHeight="1">
      <c r="A56" s="10"/>
      <c r="B56" s="44"/>
      <c r="C56" s="50" t="s">
        <v>37</v>
      </c>
      <c r="D56" s="45" t="s">
        <v>51</v>
      </c>
      <c r="E56" s="46">
        <f t="shared" si="3"/>
        <v>2500</v>
      </c>
      <c r="F56" s="46">
        <v>2500</v>
      </c>
      <c r="G56" s="46"/>
      <c r="H56" s="7"/>
      <c r="I56" s="7"/>
      <c r="J56" s="7"/>
    </row>
    <row r="57" spans="1:10" ht="20.25" customHeight="1">
      <c r="A57" s="10"/>
      <c r="B57" s="11"/>
      <c r="C57" s="44" t="s">
        <v>26</v>
      </c>
      <c r="D57" s="119" t="s">
        <v>27</v>
      </c>
      <c r="E57" s="120">
        <f t="shared" si="3"/>
        <v>13569</v>
      </c>
      <c r="F57" s="120">
        <v>13569</v>
      </c>
      <c r="G57" s="120"/>
      <c r="H57" s="7" t="s">
        <v>146</v>
      </c>
      <c r="I57" s="7"/>
      <c r="J57" s="7"/>
    </row>
    <row r="58" spans="1:10" ht="21" customHeight="1">
      <c r="A58" s="10"/>
      <c r="B58" s="41" t="s">
        <v>52</v>
      </c>
      <c r="C58" s="41"/>
      <c r="D58" s="42" t="s">
        <v>53</v>
      </c>
      <c r="E58" s="43">
        <f>+SUM(F58:G58)</f>
        <v>22000</v>
      </c>
      <c r="F58" s="43">
        <f>SUM(F59:F60)</f>
        <v>22000</v>
      </c>
      <c r="G58" s="43" t="s">
        <v>146</v>
      </c>
      <c r="H58" s="7"/>
      <c r="I58" s="7"/>
      <c r="J58" s="7"/>
    </row>
    <row r="59" spans="1:10" ht="46.5" customHeight="1">
      <c r="A59" s="10"/>
      <c r="B59" s="44"/>
      <c r="C59" s="50" t="s">
        <v>12</v>
      </c>
      <c r="D59" s="45" t="s">
        <v>13</v>
      </c>
      <c r="E59" s="46">
        <f t="shared" si="3"/>
        <v>20000</v>
      </c>
      <c r="F59" s="46">
        <v>20000</v>
      </c>
      <c r="G59" s="46"/>
      <c r="H59" s="7"/>
      <c r="I59" s="7"/>
      <c r="J59" s="7"/>
    </row>
    <row r="60" spans="1:10" ht="39" customHeight="1">
      <c r="A60" s="10"/>
      <c r="B60" s="49"/>
      <c r="C60" s="50" t="s">
        <v>54</v>
      </c>
      <c r="D60" s="45" t="s">
        <v>55</v>
      </c>
      <c r="E60" s="46">
        <f t="shared" si="3"/>
        <v>2000</v>
      </c>
      <c r="F60" s="46">
        <v>2000</v>
      </c>
      <c r="G60" s="46"/>
      <c r="H60" s="7"/>
      <c r="I60" s="7"/>
      <c r="J60" s="7"/>
    </row>
    <row r="61" spans="1:10" ht="20.25" customHeight="1">
      <c r="A61" s="89" t="s">
        <v>207</v>
      </c>
      <c r="B61" s="108"/>
      <c r="C61" s="109"/>
      <c r="D61" s="66" t="s">
        <v>208</v>
      </c>
      <c r="E61" s="92">
        <f>F61</f>
        <v>34648</v>
      </c>
      <c r="F61" s="92">
        <f>F62+F64</f>
        <v>34648</v>
      </c>
      <c r="G61" s="92"/>
      <c r="H61" s="7"/>
      <c r="I61" s="7"/>
      <c r="J61" s="7"/>
    </row>
    <row r="62" spans="1:10" ht="21" customHeight="1">
      <c r="A62" s="10"/>
      <c r="B62" s="49" t="s">
        <v>209</v>
      </c>
      <c r="C62" s="50"/>
      <c r="D62" s="42" t="s">
        <v>210</v>
      </c>
      <c r="E62" s="43">
        <f>F62</f>
        <v>4200</v>
      </c>
      <c r="F62" s="43">
        <f>F63</f>
        <v>4200</v>
      </c>
      <c r="G62" s="43"/>
      <c r="H62" s="7"/>
      <c r="I62" s="7"/>
      <c r="J62" s="7"/>
    </row>
    <row r="63" spans="1:10" ht="45" customHeight="1">
      <c r="A63" s="10"/>
      <c r="B63" s="49" t="s">
        <v>146</v>
      </c>
      <c r="C63" s="50" t="s">
        <v>12</v>
      </c>
      <c r="D63" s="45" t="s">
        <v>13</v>
      </c>
      <c r="E63" s="46">
        <f>F63</f>
        <v>4200</v>
      </c>
      <c r="F63" s="46">
        <v>4200</v>
      </c>
      <c r="G63" s="46"/>
      <c r="H63" s="7"/>
      <c r="I63" s="7"/>
      <c r="J63" s="7"/>
    </row>
    <row r="64" spans="1:10" ht="24.75" customHeight="1">
      <c r="A64" s="10"/>
      <c r="B64" s="49" t="s">
        <v>232</v>
      </c>
      <c r="C64" s="50"/>
      <c r="D64" s="42" t="s">
        <v>166</v>
      </c>
      <c r="E64" s="43">
        <f>F64</f>
        <v>30448</v>
      </c>
      <c r="F64" s="43">
        <f>SUM(F65)</f>
        <v>30448</v>
      </c>
      <c r="G64" s="43"/>
      <c r="H64" s="7"/>
      <c r="I64" s="7"/>
      <c r="J64" s="7"/>
    </row>
    <row r="65" spans="1:10" ht="45" customHeight="1">
      <c r="A65" s="10"/>
      <c r="B65" s="49"/>
      <c r="C65" s="50" t="s">
        <v>12</v>
      </c>
      <c r="D65" s="45" t="s">
        <v>13</v>
      </c>
      <c r="E65" s="46">
        <f>F65</f>
        <v>30448</v>
      </c>
      <c r="F65" s="46">
        <v>30448</v>
      </c>
      <c r="G65" s="46"/>
      <c r="H65" s="7"/>
      <c r="I65" s="7"/>
      <c r="J65" s="7"/>
    </row>
    <row r="66" spans="1:10" ht="34.5" customHeight="1">
      <c r="A66" s="74" t="s">
        <v>56</v>
      </c>
      <c r="B66" s="71"/>
      <c r="C66" s="47"/>
      <c r="D66" s="66" t="s">
        <v>57</v>
      </c>
      <c r="E66" s="94">
        <f>SUM(F66:G66)</f>
        <v>3745980</v>
      </c>
      <c r="F66" s="94">
        <f>F67</f>
        <v>3745980</v>
      </c>
      <c r="G66" s="125">
        <f>SUM(G67:G70)</f>
        <v>0</v>
      </c>
      <c r="H66" s="8" t="str">
        <f>IF($G67&gt;0,$G67," ")</f>
        <v xml:space="preserve"> </v>
      </c>
      <c r="I66" s="7"/>
      <c r="J66" s="7"/>
    </row>
    <row r="67" spans="1:10" ht="22.5" customHeight="1">
      <c r="A67" s="14"/>
      <c r="B67" s="40" t="s">
        <v>58</v>
      </c>
      <c r="C67" s="41"/>
      <c r="D67" s="42" t="s">
        <v>59</v>
      </c>
      <c r="E67" s="43">
        <f>SUM(F67:G67)</f>
        <v>3745980</v>
      </c>
      <c r="F67" s="43">
        <f>SUM(F68:F70)</f>
        <v>3745980</v>
      </c>
      <c r="G67" s="43" t="s">
        <v>146</v>
      </c>
      <c r="H67" s="7"/>
      <c r="I67" s="7"/>
      <c r="J67" s="7"/>
    </row>
    <row r="68" spans="1:10" ht="49.5" customHeight="1">
      <c r="A68" s="10"/>
      <c r="B68" s="56"/>
      <c r="C68" s="50" t="s">
        <v>12</v>
      </c>
      <c r="D68" s="45" t="s">
        <v>13</v>
      </c>
      <c r="E68" s="46">
        <f t="shared" ref="E68:E137" si="4">SUM(F68:G68)</f>
        <v>3745028</v>
      </c>
      <c r="F68" s="46">
        <v>3745028</v>
      </c>
      <c r="G68" s="46"/>
      <c r="H68" s="7"/>
      <c r="I68" s="7"/>
      <c r="J68" s="7"/>
    </row>
    <row r="69" spans="1:10" ht="17.25" customHeight="1">
      <c r="A69" s="10"/>
      <c r="B69" s="10"/>
      <c r="C69" s="50" t="s">
        <v>26</v>
      </c>
      <c r="D69" s="45" t="s">
        <v>27</v>
      </c>
      <c r="E69" s="46">
        <f t="shared" si="4"/>
        <v>900</v>
      </c>
      <c r="F69" s="46">
        <v>900</v>
      </c>
      <c r="G69" s="46"/>
      <c r="H69" s="7"/>
      <c r="I69" s="7"/>
      <c r="J69" s="7"/>
    </row>
    <row r="70" spans="1:10" ht="37.5" customHeight="1">
      <c r="A70" s="10"/>
      <c r="B70" s="10"/>
      <c r="C70" s="50" t="s">
        <v>14</v>
      </c>
      <c r="D70" s="45" t="s">
        <v>15</v>
      </c>
      <c r="E70" s="46">
        <f t="shared" si="4"/>
        <v>52</v>
      </c>
      <c r="F70" s="46">
        <v>52</v>
      </c>
      <c r="G70" s="46"/>
      <c r="H70" s="7"/>
      <c r="I70" s="7"/>
      <c r="J70" s="7"/>
    </row>
    <row r="71" spans="1:10" ht="22.5" customHeight="1">
      <c r="A71" s="89" t="s">
        <v>182</v>
      </c>
      <c r="B71" s="89"/>
      <c r="C71" s="109"/>
      <c r="D71" s="66" t="s">
        <v>183</v>
      </c>
      <c r="E71" s="92">
        <f>F71</f>
        <v>187812</v>
      </c>
      <c r="F71" s="92">
        <f>F72</f>
        <v>187812</v>
      </c>
      <c r="G71" s="92"/>
      <c r="H71" s="7"/>
      <c r="I71" s="7"/>
      <c r="J71" s="7"/>
    </row>
    <row r="72" spans="1:10" ht="19.5" customHeight="1">
      <c r="A72" s="56"/>
      <c r="B72" s="41" t="s">
        <v>184</v>
      </c>
      <c r="C72" s="50"/>
      <c r="D72" s="42" t="s">
        <v>185</v>
      </c>
      <c r="E72" s="43">
        <f>F72</f>
        <v>187812</v>
      </c>
      <c r="F72" s="43">
        <f>F73</f>
        <v>187812</v>
      </c>
      <c r="G72" s="43"/>
      <c r="H72" s="7"/>
      <c r="I72" s="7"/>
      <c r="J72" s="7"/>
    </row>
    <row r="73" spans="1:10" ht="48" customHeight="1">
      <c r="A73" s="12"/>
      <c r="B73" s="12"/>
      <c r="C73" s="50" t="s">
        <v>12</v>
      </c>
      <c r="D73" s="45" t="s">
        <v>13</v>
      </c>
      <c r="E73" s="46">
        <f>F73</f>
        <v>187812</v>
      </c>
      <c r="F73" s="46">
        <v>187812</v>
      </c>
      <c r="G73" s="46"/>
      <c r="H73" s="7"/>
      <c r="I73" s="7"/>
      <c r="J73" s="7"/>
    </row>
    <row r="74" spans="1:10" ht="50.25" customHeight="1">
      <c r="A74" s="74" t="s">
        <v>60</v>
      </c>
      <c r="B74" s="47"/>
      <c r="C74" s="47"/>
      <c r="D74" s="48" t="s">
        <v>61</v>
      </c>
      <c r="E74" s="94">
        <f>SUM(F74:G74)</f>
        <v>15156865</v>
      </c>
      <c r="F74" s="94">
        <f>F75+F79</f>
        <v>15156865</v>
      </c>
      <c r="G74" s="94" t="s">
        <v>146</v>
      </c>
      <c r="H74" s="22" t="e">
        <f>IF(($G75+$G79)&gt;0,($G75+$G79)," ")</f>
        <v>#VALUE!</v>
      </c>
      <c r="I74" s="9"/>
      <c r="J74" s="9"/>
    </row>
    <row r="75" spans="1:10" ht="33" customHeight="1">
      <c r="A75" s="14"/>
      <c r="B75" s="60" t="s">
        <v>62</v>
      </c>
      <c r="C75" s="41"/>
      <c r="D75" s="42" t="s">
        <v>63</v>
      </c>
      <c r="E75" s="43">
        <f>SUM(F75:G75)</f>
        <v>2802117</v>
      </c>
      <c r="F75" s="43">
        <f>F76+F77+F78</f>
        <v>2802117</v>
      </c>
      <c r="G75" s="43" t="str">
        <f>IF((G76+G77)&gt;0,(G76+G77)," ")</f>
        <v xml:space="preserve"> </v>
      </c>
      <c r="H75" s="7"/>
      <c r="I75" s="7"/>
      <c r="J75" s="7"/>
    </row>
    <row r="76" spans="1:10" ht="17.25" customHeight="1">
      <c r="A76" s="15"/>
      <c r="B76" s="56"/>
      <c r="C76" s="50" t="s">
        <v>64</v>
      </c>
      <c r="D76" s="45" t="s">
        <v>65</v>
      </c>
      <c r="E76" s="46">
        <f t="shared" si="4"/>
        <v>1995317</v>
      </c>
      <c r="F76" s="46">
        <v>1995317</v>
      </c>
      <c r="G76" s="46"/>
      <c r="H76" s="7"/>
      <c r="I76" s="7"/>
      <c r="J76" s="7"/>
    </row>
    <row r="77" spans="1:10" ht="33.75" customHeight="1">
      <c r="A77" s="15"/>
      <c r="B77" s="10"/>
      <c r="C77" s="50" t="s">
        <v>66</v>
      </c>
      <c r="D77" s="45" t="s">
        <v>159</v>
      </c>
      <c r="E77" s="46">
        <f t="shared" si="4"/>
        <v>506800</v>
      </c>
      <c r="F77" s="46">
        <v>506800</v>
      </c>
      <c r="G77" s="46"/>
      <c r="H77" s="7"/>
      <c r="I77" s="7"/>
      <c r="J77" s="7"/>
    </row>
    <row r="78" spans="1:10" ht="22.5" customHeight="1">
      <c r="A78" s="15"/>
      <c r="B78" s="12"/>
      <c r="C78" s="50" t="s">
        <v>160</v>
      </c>
      <c r="D78" s="45" t="s">
        <v>161</v>
      </c>
      <c r="E78" s="46">
        <f>F78</f>
        <v>300000</v>
      </c>
      <c r="F78" s="46">
        <v>300000</v>
      </c>
      <c r="G78" s="46"/>
      <c r="H78" s="7"/>
      <c r="I78" s="7"/>
      <c r="J78" s="7"/>
    </row>
    <row r="79" spans="1:10" ht="21.75" customHeight="1">
      <c r="A79" s="10"/>
      <c r="B79" s="40" t="s">
        <v>67</v>
      </c>
      <c r="C79" s="41"/>
      <c r="D79" s="42" t="s">
        <v>68</v>
      </c>
      <c r="E79" s="43">
        <f>SUM(F79:G79)</f>
        <v>12354748</v>
      </c>
      <c r="F79" s="43">
        <f>SUM(F80:F81)</f>
        <v>12354748</v>
      </c>
      <c r="G79" s="43" t="str">
        <f>IF((G80+G81)&gt;0,(G80+G81)," ")</f>
        <v xml:space="preserve"> </v>
      </c>
      <c r="H79" s="7"/>
      <c r="I79" s="7"/>
      <c r="J79" s="7"/>
    </row>
    <row r="80" spans="1:10" ht="18.75" customHeight="1">
      <c r="A80" s="10"/>
      <c r="B80" s="44"/>
      <c r="C80" s="50" t="s">
        <v>69</v>
      </c>
      <c r="D80" s="45" t="s">
        <v>157</v>
      </c>
      <c r="E80" s="46">
        <f t="shared" si="4"/>
        <v>12054748</v>
      </c>
      <c r="F80" s="46">
        <v>12054748</v>
      </c>
      <c r="G80" s="46"/>
      <c r="H80" s="7"/>
      <c r="I80" s="7"/>
      <c r="J80" s="7"/>
    </row>
    <row r="81" spans="1:10" ht="18.75" customHeight="1">
      <c r="A81" s="12"/>
      <c r="B81" s="21"/>
      <c r="C81" s="50" t="s">
        <v>70</v>
      </c>
      <c r="D81" s="45" t="s">
        <v>158</v>
      </c>
      <c r="E81" s="143">
        <f t="shared" si="4"/>
        <v>300000</v>
      </c>
      <c r="F81" s="143">
        <v>300000</v>
      </c>
      <c r="G81" s="46"/>
      <c r="H81" s="7"/>
      <c r="I81" s="7"/>
      <c r="J81" s="7"/>
    </row>
    <row r="82" spans="1:10" ht="22.5" customHeight="1">
      <c r="A82" s="47" t="s">
        <v>71</v>
      </c>
      <c r="B82" s="47"/>
      <c r="C82" s="47"/>
      <c r="D82" s="48" t="s">
        <v>72</v>
      </c>
      <c r="E82" s="94">
        <f>SUM(F82:G82)</f>
        <v>42009808</v>
      </c>
      <c r="F82" s="94">
        <f>F83+F85+F87+F89</f>
        <v>42009808</v>
      </c>
      <c r="G82" s="94" t="s">
        <v>146</v>
      </c>
      <c r="H82" s="8" t="e">
        <f>IF(($G83+$G85+$G87+$G89)&gt;0,($G83+$G85+$G87+$G89)," ")</f>
        <v>#VALUE!</v>
      </c>
      <c r="I82" s="7"/>
      <c r="J82" s="7"/>
    </row>
    <row r="83" spans="1:10" ht="21.75" customHeight="1">
      <c r="A83" s="16"/>
      <c r="B83" s="68" t="s">
        <v>73</v>
      </c>
      <c r="C83" s="59"/>
      <c r="D83" s="67" t="s">
        <v>74</v>
      </c>
      <c r="E83" s="102">
        <f t="shared" si="4"/>
        <v>33968128</v>
      </c>
      <c r="F83" s="102">
        <f>F84</f>
        <v>33968128</v>
      </c>
      <c r="G83" s="102" t="str">
        <f>IF(G84&gt;0,G84," ")</f>
        <v xml:space="preserve"> </v>
      </c>
      <c r="H83" s="7"/>
      <c r="I83" s="7"/>
      <c r="J83" s="7"/>
    </row>
    <row r="84" spans="1:10" ht="17.25" customHeight="1">
      <c r="A84" s="17"/>
      <c r="B84" s="59"/>
      <c r="C84" s="59" t="s">
        <v>75</v>
      </c>
      <c r="D84" s="45" t="s">
        <v>76</v>
      </c>
      <c r="E84" s="103">
        <f t="shared" si="4"/>
        <v>33968128</v>
      </c>
      <c r="F84" s="103">
        <v>33968128</v>
      </c>
      <c r="G84" s="103"/>
      <c r="H84" s="7"/>
      <c r="I84" s="7"/>
      <c r="J84" s="7"/>
    </row>
    <row r="85" spans="1:10" ht="18" customHeight="1">
      <c r="A85" s="17"/>
      <c r="B85" s="59" t="s">
        <v>77</v>
      </c>
      <c r="C85" s="59"/>
      <c r="D85" s="67" t="s">
        <v>78</v>
      </c>
      <c r="E85" s="102">
        <f t="shared" si="4"/>
        <v>5231049</v>
      </c>
      <c r="F85" s="102">
        <f>F86</f>
        <v>5231049</v>
      </c>
      <c r="G85" s="102" t="str">
        <f>IF(G86&gt;0,G86," ")</f>
        <v xml:space="preserve"> </v>
      </c>
      <c r="H85" s="7"/>
      <c r="I85" s="7"/>
      <c r="J85" s="7"/>
    </row>
    <row r="86" spans="1:10" ht="18" customHeight="1">
      <c r="A86" s="17"/>
      <c r="B86" s="59"/>
      <c r="C86" s="59" t="s">
        <v>75</v>
      </c>
      <c r="D86" s="45" t="s">
        <v>76</v>
      </c>
      <c r="E86" s="103">
        <f t="shared" si="4"/>
        <v>5231049</v>
      </c>
      <c r="F86" s="103">
        <v>5231049</v>
      </c>
      <c r="G86" s="103"/>
      <c r="H86" s="7"/>
      <c r="I86" s="7"/>
      <c r="J86" s="7"/>
    </row>
    <row r="87" spans="1:10" ht="16.5" customHeight="1">
      <c r="A87" s="17"/>
      <c r="B87" s="59" t="s">
        <v>79</v>
      </c>
      <c r="C87" s="59"/>
      <c r="D87" s="67" t="s">
        <v>80</v>
      </c>
      <c r="E87" s="102">
        <f t="shared" si="4"/>
        <v>70330</v>
      </c>
      <c r="F87" s="102">
        <f>F88</f>
        <v>70330</v>
      </c>
      <c r="G87" s="102" t="str">
        <f>IF(G88&gt;0,G88," ")</f>
        <v xml:space="preserve"> </v>
      </c>
      <c r="H87" s="7"/>
      <c r="I87" s="7"/>
      <c r="J87" s="7"/>
    </row>
    <row r="88" spans="1:10" ht="17.25" customHeight="1">
      <c r="A88" s="17"/>
      <c r="B88" s="59"/>
      <c r="C88" s="59" t="s">
        <v>38</v>
      </c>
      <c r="D88" s="45" t="s">
        <v>163</v>
      </c>
      <c r="E88" s="103">
        <f t="shared" si="4"/>
        <v>70330</v>
      </c>
      <c r="F88" s="103">
        <v>70330</v>
      </c>
      <c r="G88" s="103"/>
      <c r="H88" s="7"/>
      <c r="I88" s="7"/>
      <c r="J88" s="7"/>
    </row>
    <row r="89" spans="1:10" ht="18" customHeight="1">
      <c r="A89" s="17"/>
      <c r="B89" s="59" t="s">
        <v>81</v>
      </c>
      <c r="C89" s="59"/>
      <c r="D89" s="67" t="s">
        <v>82</v>
      </c>
      <c r="E89" s="102">
        <f t="shared" si="4"/>
        <v>2740301</v>
      </c>
      <c r="F89" s="102">
        <f>F90</f>
        <v>2740301</v>
      </c>
      <c r="G89" s="102" t="str">
        <f>IF(G90&gt;0,G90," ")</f>
        <v xml:space="preserve"> </v>
      </c>
      <c r="H89" s="7"/>
      <c r="I89" s="7"/>
      <c r="J89" s="7"/>
    </row>
    <row r="90" spans="1:10" ht="18.75" customHeight="1">
      <c r="A90" s="18"/>
      <c r="B90" s="59"/>
      <c r="C90" s="59" t="s">
        <v>75</v>
      </c>
      <c r="D90" s="45" t="s">
        <v>76</v>
      </c>
      <c r="E90" s="103">
        <f t="shared" si="4"/>
        <v>2740301</v>
      </c>
      <c r="F90" s="103">
        <v>2740301</v>
      </c>
      <c r="G90" s="103"/>
      <c r="H90" s="7"/>
      <c r="I90" s="7"/>
      <c r="J90" s="7"/>
    </row>
    <row r="91" spans="1:10" ht="15.75" customHeight="1">
      <c r="A91" s="167" t="s">
        <v>45</v>
      </c>
      <c r="B91" s="167" t="s">
        <v>46</v>
      </c>
      <c r="C91" s="167" t="s">
        <v>47</v>
      </c>
      <c r="D91" s="57" t="s">
        <v>48</v>
      </c>
      <c r="E91" s="168">
        <v>5</v>
      </c>
      <c r="F91" s="168">
        <v>6</v>
      </c>
      <c r="G91" s="168">
        <v>7</v>
      </c>
      <c r="H91" s="7"/>
      <c r="I91" s="7"/>
      <c r="J91" s="7"/>
    </row>
    <row r="92" spans="1:10" ht="22.5" customHeight="1">
      <c r="A92" s="74" t="s">
        <v>83</v>
      </c>
      <c r="B92" s="47"/>
      <c r="C92" s="47"/>
      <c r="D92" s="48" t="s">
        <v>84</v>
      </c>
      <c r="E92" s="96">
        <f>SUM(F92:G92)</f>
        <v>1467404.23</v>
      </c>
      <c r="F92" s="96">
        <f>F101+F104+F106+F108+F110+F95+F93</f>
        <v>1467404.23</v>
      </c>
      <c r="G92" s="94" t="s">
        <v>146</v>
      </c>
      <c r="H92" s="8" t="e">
        <f>IF(($G101+#REF!+$G104+$G106+$G108)&gt;0,($G101+#REF!+$G104+$G106+$G108)," ")</f>
        <v>#VALUE!</v>
      </c>
      <c r="I92" s="7"/>
      <c r="J92" s="7"/>
    </row>
    <row r="93" spans="1:10" ht="22.5" customHeight="1">
      <c r="A93" s="150"/>
      <c r="B93" s="151" t="s">
        <v>230</v>
      </c>
      <c r="C93" s="80"/>
      <c r="D93" s="113" t="s">
        <v>231</v>
      </c>
      <c r="E93" s="152">
        <f t="shared" ref="E93:E99" si="5">F93</f>
        <v>411</v>
      </c>
      <c r="F93" s="152">
        <f>F94</f>
        <v>411</v>
      </c>
      <c r="G93" s="98"/>
      <c r="H93" s="20"/>
      <c r="I93" s="7"/>
      <c r="J93" s="7"/>
    </row>
    <row r="94" spans="1:10" ht="22.5" customHeight="1">
      <c r="A94" s="153"/>
      <c r="B94" s="151"/>
      <c r="C94" s="80" t="s">
        <v>227</v>
      </c>
      <c r="D94" s="45" t="s">
        <v>228</v>
      </c>
      <c r="E94" s="155">
        <f t="shared" si="5"/>
        <v>411</v>
      </c>
      <c r="F94" s="155">
        <v>411</v>
      </c>
      <c r="G94" s="143"/>
      <c r="H94" s="20"/>
      <c r="I94" s="7"/>
      <c r="J94" s="7"/>
    </row>
    <row r="95" spans="1:10" ht="18.75" customHeight="1">
      <c r="A95" s="153"/>
      <c r="B95" s="151" t="s">
        <v>203</v>
      </c>
      <c r="C95" s="80"/>
      <c r="D95" s="113" t="s">
        <v>204</v>
      </c>
      <c r="E95" s="152">
        <f t="shared" si="5"/>
        <v>525082.34000000008</v>
      </c>
      <c r="F95" s="152">
        <f>SUM(F96:F100)</f>
        <v>525082.34000000008</v>
      </c>
      <c r="G95" s="98"/>
      <c r="H95" s="20"/>
      <c r="I95" s="7"/>
      <c r="J95" s="7"/>
    </row>
    <row r="96" spans="1:10" ht="33" customHeight="1">
      <c r="A96" s="153"/>
      <c r="B96" s="116"/>
      <c r="C96" s="112" t="s">
        <v>205</v>
      </c>
      <c r="D96" s="53" t="s">
        <v>206</v>
      </c>
      <c r="E96" s="155">
        <f t="shared" si="5"/>
        <v>650</v>
      </c>
      <c r="F96" s="155">
        <v>650</v>
      </c>
      <c r="G96" s="143"/>
      <c r="H96" s="20"/>
      <c r="I96" s="7"/>
      <c r="J96" s="7"/>
    </row>
    <row r="97" spans="1:10" ht="33" customHeight="1">
      <c r="A97" s="153"/>
      <c r="B97" s="115"/>
      <c r="C97" s="80" t="s">
        <v>227</v>
      </c>
      <c r="D97" s="45" t="s">
        <v>228</v>
      </c>
      <c r="E97" s="155">
        <f t="shared" ref="E97" si="6">F97</f>
        <v>2343.34</v>
      </c>
      <c r="F97" s="155">
        <f>0+2343.34</f>
        <v>2343.34</v>
      </c>
      <c r="G97" s="143"/>
      <c r="H97" s="20"/>
      <c r="I97" s="7"/>
      <c r="J97" s="7"/>
    </row>
    <row r="98" spans="1:10" ht="22.5" customHeight="1">
      <c r="A98" s="153"/>
      <c r="B98" s="115"/>
      <c r="C98" s="112" t="s">
        <v>26</v>
      </c>
      <c r="D98" s="154" t="s">
        <v>27</v>
      </c>
      <c r="E98" s="155">
        <f t="shared" si="5"/>
        <v>439065</v>
      </c>
      <c r="F98" s="155">
        <v>439065</v>
      </c>
      <c r="G98" s="98"/>
      <c r="H98" s="20"/>
      <c r="I98" s="7"/>
      <c r="J98" s="7"/>
    </row>
    <row r="99" spans="1:10" ht="32.25" customHeight="1">
      <c r="A99" s="153"/>
      <c r="B99" s="115"/>
      <c r="C99" s="112" t="s">
        <v>107</v>
      </c>
      <c r="D99" s="45" t="s">
        <v>108</v>
      </c>
      <c r="E99" s="155">
        <f t="shared" si="5"/>
        <v>12000</v>
      </c>
      <c r="F99" s="155">
        <v>12000</v>
      </c>
      <c r="G99" s="98"/>
      <c r="H99" s="20"/>
      <c r="I99" s="7"/>
      <c r="J99" s="7"/>
    </row>
    <row r="100" spans="1:10" ht="31.5" customHeight="1">
      <c r="A100" s="153"/>
      <c r="B100" s="111"/>
      <c r="C100" s="112" t="s">
        <v>89</v>
      </c>
      <c r="D100" s="154" t="s">
        <v>90</v>
      </c>
      <c r="E100" s="143">
        <f t="shared" si="4"/>
        <v>71024</v>
      </c>
      <c r="F100" s="143">
        <v>71024</v>
      </c>
      <c r="G100" s="98"/>
      <c r="H100" s="20"/>
      <c r="I100" s="7"/>
      <c r="J100" s="7"/>
    </row>
    <row r="101" spans="1:10" ht="20.25" customHeight="1">
      <c r="A101" s="10"/>
      <c r="B101" s="40" t="s">
        <v>85</v>
      </c>
      <c r="C101" s="41"/>
      <c r="D101" s="42" t="s">
        <v>86</v>
      </c>
      <c r="E101" s="43">
        <f t="shared" si="4"/>
        <v>76353</v>
      </c>
      <c r="F101" s="43">
        <f>SUM(F102:F103)</f>
        <v>76353</v>
      </c>
      <c r="G101" s="43" t="str">
        <f>IF((G103)&gt;0,(G103)," ")</f>
        <v xml:space="preserve"> </v>
      </c>
      <c r="H101" s="7"/>
      <c r="I101" s="7"/>
      <c r="J101" s="7"/>
    </row>
    <row r="102" spans="1:10" ht="31.5" customHeight="1">
      <c r="A102" s="10"/>
      <c r="B102" s="44"/>
      <c r="C102" s="50" t="s">
        <v>205</v>
      </c>
      <c r="D102" s="53" t="s">
        <v>206</v>
      </c>
      <c r="E102" s="46">
        <f>F102</f>
        <v>260</v>
      </c>
      <c r="F102" s="46">
        <v>260</v>
      </c>
      <c r="G102" s="43"/>
      <c r="H102" s="7"/>
      <c r="I102" s="7"/>
      <c r="J102" s="7"/>
    </row>
    <row r="103" spans="1:10" ht="18" customHeight="1">
      <c r="A103" s="10"/>
      <c r="B103" s="49"/>
      <c r="C103" s="50" t="s">
        <v>26</v>
      </c>
      <c r="D103" s="45" t="s">
        <v>27</v>
      </c>
      <c r="E103" s="46">
        <f t="shared" si="4"/>
        <v>76093</v>
      </c>
      <c r="F103" s="46">
        <v>76093</v>
      </c>
      <c r="G103" s="46"/>
      <c r="H103" s="7"/>
      <c r="I103" s="7"/>
      <c r="J103" s="7"/>
    </row>
    <row r="104" spans="1:10" ht="21" customHeight="1">
      <c r="A104" s="10"/>
      <c r="B104" s="50" t="s">
        <v>87</v>
      </c>
      <c r="C104" s="51"/>
      <c r="D104" s="52" t="s">
        <v>88</v>
      </c>
      <c r="E104" s="101">
        <f t="shared" si="4"/>
        <v>2697</v>
      </c>
      <c r="F104" s="101">
        <f>SUM(F105:F105)</f>
        <v>2697</v>
      </c>
      <c r="G104" s="141">
        <v>0</v>
      </c>
      <c r="H104" s="7"/>
      <c r="I104" s="7"/>
      <c r="J104" s="7"/>
    </row>
    <row r="105" spans="1:10" ht="34.5" customHeight="1">
      <c r="A105" s="10"/>
      <c r="B105" s="21"/>
      <c r="C105" s="50" t="s">
        <v>89</v>
      </c>
      <c r="D105" s="45" t="s">
        <v>90</v>
      </c>
      <c r="E105" s="46">
        <f>F105</f>
        <v>2697</v>
      </c>
      <c r="F105" s="46">
        <v>2697</v>
      </c>
      <c r="G105" s="46"/>
      <c r="H105" s="7"/>
      <c r="I105" s="7"/>
      <c r="J105" s="7"/>
    </row>
    <row r="106" spans="1:10" ht="32.25" customHeight="1">
      <c r="A106" s="10"/>
      <c r="B106" s="49" t="s">
        <v>91</v>
      </c>
      <c r="C106" s="41"/>
      <c r="D106" s="42" t="s">
        <v>92</v>
      </c>
      <c r="E106" s="43">
        <f t="shared" si="4"/>
        <v>166050</v>
      </c>
      <c r="F106" s="43">
        <f>F107</f>
        <v>166050</v>
      </c>
      <c r="G106" s="43" t="str">
        <f>IF(G107&gt;0,G107," ")</f>
        <v xml:space="preserve"> </v>
      </c>
      <c r="H106" s="7"/>
      <c r="I106" s="7"/>
      <c r="J106" s="7"/>
    </row>
    <row r="107" spans="1:10" ht="19.5" customHeight="1">
      <c r="A107" s="10"/>
      <c r="B107" s="50"/>
      <c r="C107" s="41" t="s">
        <v>26</v>
      </c>
      <c r="D107" s="45" t="s">
        <v>27</v>
      </c>
      <c r="E107" s="46">
        <f t="shared" si="4"/>
        <v>166050</v>
      </c>
      <c r="F107" s="46">
        <v>166050</v>
      </c>
      <c r="G107" s="46"/>
      <c r="H107" s="7"/>
      <c r="I107" s="7"/>
      <c r="J107" s="7"/>
    </row>
    <row r="108" spans="1:10" ht="20.25" customHeight="1">
      <c r="A108" s="10"/>
      <c r="B108" s="40" t="s">
        <v>93</v>
      </c>
      <c r="C108" s="41"/>
      <c r="D108" s="42" t="s">
        <v>94</v>
      </c>
      <c r="E108" s="43">
        <f t="shared" si="4"/>
        <v>428076</v>
      </c>
      <c r="F108" s="43">
        <f>F109</f>
        <v>428076</v>
      </c>
      <c r="G108" s="43" t="str">
        <f>IF(G109&gt;0,G109," ")</f>
        <v xml:space="preserve"> </v>
      </c>
      <c r="H108" s="7"/>
      <c r="I108" s="7"/>
      <c r="J108" s="7"/>
    </row>
    <row r="109" spans="1:10" ht="18.75" customHeight="1">
      <c r="A109" s="10"/>
      <c r="B109" s="50"/>
      <c r="C109" s="41" t="s">
        <v>95</v>
      </c>
      <c r="D109" s="45" t="s">
        <v>96</v>
      </c>
      <c r="E109" s="46">
        <f t="shared" si="4"/>
        <v>428076</v>
      </c>
      <c r="F109" s="46">
        <v>428076</v>
      </c>
      <c r="G109" s="46"/>
      <c r="H109" s="7"/>
      <c r="I109" s="7"/>
      <c r="J109" s="7"/>
    </row>
    <row r="110" spans="1:10" ht="18.75" customHeight="1">
      <c r="A110" s="10"/>
      <c r="B110" s="44" t="s">
        <v>196</v>
      </c>
      <c r="C110" s="41"/>
      <c r="D110" s="42" t="s">
        <v>166</v>
      </c>
      <c r="E110" s="97">
        <f>SUM(F110)</f>
        <v>268734.89</v>
      </c>
      <c r="F110" s="97">
        <f>SUM(F111:F112)</f>
        <v>268734.89</v>
      </c>
      <c r="G110" s="43"/>
      <c r="H110" s="7"/>
      <c r="I110" s="7"/>
      <c r="J110" s="7"/>
    </row>
    <row r="111" spans="1:10" ht="66.75" customHeight="1">
      <c r="A111" s="10"/>
      <c r="B111" s="44"/>
      <c r="C111" s="50" t="s">
        <v>167</v>
      </c>
      <c r="D111" s="65" t="s">
        <v>170</v>
      </c>
      <c r="E111" s="86">
        <f>F111</f>
        <v>240446.99</v>
      </c>
      <c r="F111" s="86">
        <v>240446.99</v>
      </c>
      <c r="G111" s="128"/>
      <c r="H111" s="7"/>
      <c r="I111" s="7"/>
      <c r="J111" s="7"/>
    </row>
    <row r="112" spans="1:10" ht="66.75" customHeight="1">
      <c r="A112" s="12"/>
      <c r="B112" s="49"/>
      <c r="C112" s="50" t="s">
        <v>174</v>
      </c>
      <c r="D112" s="65" t="s">
        <v>170</v>
      </c>
      <c r="E112" s="86">
        <f>F112</f>
        <v>28287.9</v>
      </c>
      <c r="F112" s="86">
        <v>28287.9</v>
      </c>
      <c r="G112" s="128"/>
      <c r="H112" s="7"/>
      <c r="I112" s="7"/>
      <c r="J112" s="7"/>
    </row>
    <row r="113" spans="1:10" ht="21.75" customHeight="1">
      <c r="A113" s="76" t="s">
        <v>97</v>
      </c>
      <c r="B113" s="71"/>
      <c r="C113" s="47"/>
      <c r="D113" s="48" t="s">
        <v>98</v>
      </c>
      <c r="E113" s="96">
        <f>SUM(F113:G113)</f>
        <v>1214711.03</v>
      </c>
      <c r="F113" s="96">
        <f>F116+F114</f>
        <v>1133598</v>
      </c>
      <c r="G113" s="96">
        <f>SUM(G114)</f>
        <v>81113.03</v>
      </c>
      <c r="H113" s="8" t="str">
        <f>IF($G116&gt;0,$G116," ")</f>
        <v xml:space="preserve"> </v>
      </c>
      <c r="I113" s="7"/>
      <c r="J113" s="7"/>
    </row>
    <row r="114" spans="1:10" ht="21.75" customHeight="1">
      <c r="A114" s="150"/>
      <c r="B114" s="111" t="s">
        <v>221</v>
      </c>
      <c r="C114" s="80"/>
      <c r="D114" s="113" t="s">
        <v>222</v>
      </c>
      <c r="E114" s="152">
        <f>F114+G114</f>
        <v>81113.03</v>
      </c>
      <c r="F114" s="152">
        <f>F115</f>
        <v>0</v>
      </c>
      <c r="G114" s="152">
        <f>G115</f>
        <v>81113.03</v>
      </c>
      <c r="H114" s="20"/>
      <c r="I114" s="7"/>
      <c r="J114" s="7"/>
    </row>
    <row r="115" spans="1:10" ht="63" customHeight="1">
      <c r="A115" s="153"/>
      <c r="B115" s="111"/>
      <c r="C115" s="80" t="s">
        <v>223</v>
      </c>
      <c r="D115" s="154" t="s">
        <v>224</v>
      </c>
      <c r="E115" s="155">
        <f>F115+G115</f>
        <v>81113.03</v>
      </c>
      <c r="F115" s="155">
        <v>0</v>
      </c>
      <c r="G115" s="155">
        <v>81113.03</v>
      </c>
      <c r="H115" s="20"/>
      <c r="I115" s="7"/>
      <c r="J115" s="7"/>
    </row>
    <row r="116" spans="1:10" ht="39" customHeight="1">
      <c r="A116" s="85"/>
      <c r="B116" s="50" t="s">
        <v>99</v>
      </c>
      <c r="C116" s="41"/>
      <c r="D116" s="42" t="s">
        <v>100</v>
      </c>
      <c r="E116" s="43">
        <f t="shared" si="4"/>
        <v>1133598</v>
      </c>
      <c r="F116" s="43">
        <f>F117</f>
        <v>1133598</v>
      </c>
      <c r="G116" s="43" t="str">
        <f>IF(G117&gt;0,G117," ")</f>
        <v xml:space="preserve"> </v>
      </c>
      <c r="H116" s="7"/>
      <c r="I116" s="7"/>
      <c r="J116" s="7"/>
    </row>
    <row r="117" spans="1:10" ht="47.25" customHeight="1">
      <c r="A117" s="51"/>
      <c r="B117" s="50"/>
      <c r="C117" s="41" t="s">
        <v>12</v>
      </c>
      <c r="D117" s="45" t="s">
        <v>13</v>
      </c>
      <c r="E117" s="46">
        <f t="shared" si="4"/>
        <v>1133598</v>
      </c>
      <c r="F117" s="46">
        <v>1133598</v>
      </c>
      <c r="G117" s="46"/>
      <c r="H117" s="7"/>
      <c r="I117" s="7"/>
      <c r="J117" s="7"/>
    </row>
    <row r="118" spans="1:10" ht="24.75" customHeight="1">
      <c r="A118" s="71" t="s">
        <v>101</v>
      </c>
      <c r="B118" s="47"/>
      <c r="C118" s="47"/>
      <c r="D118" s="48" t="s">
        <v>102</v>
      </c>
      <c r="E118" s="94">
        <f>SUM(F118:G118)</f>
        <v>2380574</v>
      </c>
      <c r="F118" s="94">
        <f>F119+F123+F125</f>
        <v>2380574</v>
      </c>
      <c r="G118" s="94" t="s">
        <v>146</v>
      </c>
      <c r="H118" s="8" t="e">
        <f>IF((#REF!+$G119+#REF!+$G123+#REF!)&gt;0,(#REF!+$G119+#REF!+$G123+#REF!)," ")</f>
        <v>#REF!</v>
      </c>
      <c r="I118" s="9"/>
      <c r="J118" s="9"/>
    </row>
    <row r="119" spans="1:10" ht="21.75" customHeight="1">
      <c r="A119" s="14"/>
      <c r="B119" s="60" t="s">
        <v>105</v>
      </c>
      <c r="C119" s="41"/>
      <c r="D119" s="42" t="s">
        <v>106</v>
      </c>
      <c r="E119" s="43">
        <f t="shared" si="4"/>
        <v>2379374</v>
      </c>
      <c r="F119" s="43">
        <f>SUM(F120:F122)</f>
        <v>2379374</v>
      </c>
      <c r="G119" s="43" t="str">
        <f>IF((G120+G121+G122)&gt;0,(G120+G121+G122)," ")</f>
        <v xml:space="preserve"> </v>
      </c>
      <c r="H119" s="7"/>
      <c r="I119" s="7"/>
      <c r="J119" s="7"/>
    </row>
    <row r="120" spans="1:10" ht="31.5" customHeight="1">
      <c r="A120" s="10"/>
      <c r="B120" s="44"/>
      <c r="C120" s="41" t="s">
        <v>107</v>
      </c>
      <c r="D120" s="45" t="s">
        <v>108</v>
      </c>
      <c r="E120" s="46">
        <f t="shared" si="4"/>
        <v>408024</v>
      </c>
      <c r="F120" s="46">
        <v>408024</v>
      </c>
      <c r="G120" s="46"/>
      <c r="H120" s="7"/>
      <c r="I120" s="7"/>
      <c r="J120" s="7"/>
    </row>
    <row r="121" spans="1:10" ht="16.5" customHeight="1">
      <c r="A121" s="10"/>
      <c r="B121" s="11"/>
      <c r="C121" s="41" t="s">
        <v>95</v>
      </c>
      <c r="D121" s="45" t="s">
        <v>109</v>
      </c>
      <c r="E121" s="46">
        <f t="shared" si="4"/>
        <v>1960090</v>
      </c>
      <c r="F121" s="46">
        <v>1960090</v>
      </c>
      <c r="G121" s="46"/>
      <c r="H121" s="7"/>
      <c r="I121" s="7"/>
      <c r="J121" s="7"/>
    </row>
    <row r="122" spans="1:10" ht="16.5" customHeight="1">
      <c r="A122" s="10"/>
      <c r="B122" s="10"/>
      <c r="C122" s="41" t="s">
        <v>26</v>
      </c>
      <c r="D122" s="45" t="s">
        <v>27</v>
      </c>
      <c r="E122" s="46">
        <f t="shared" si="4"/>
        <v>11260</v>
      </c>
      <c r="F122" s="46">
        <v>11260</v>
      </c>
      <c r="G122" s="46"/>
      <c r="H122" s="7"/>
      <c r="I122" s="7"/>
      <c r="J122" s="7"/>
    </row>
    <row r="123" spans="1:10" ht="21.75" customHeight="1">
      <c r="A123" s="10"/>
      <c r="B123" s="41" t="s">
        <v>111</v>
      </c>
      <c r="C123" s="41"/>
      <c r="D123" s="42" t="s">
        <v>112</v>
      </c>
      <c r="E123" s="43">
        <f t="shared" si="4"/>
        <v>200</v>
      </c>
      <c r="F123" s="43">
        <f>SUM(F124:F124)</f>
        <v>200</v>
      </c>
      <c r="G123" s="43" t="str">
        <f>IF(G124&gt;0,G124," ")</f>
        <v xml:space="preserve"> </v>
      </c>
      <c r="H123" s="7"/>
      <c r="I123" s="7"/>
      <c r="J123" s="7"/>
    </row>
    <row r="124" spans="1:10" ht="21" customHeight="1">
      <c r="A124" s="10"/>
      <c r="B124" s="44"/>
      <c r="C124" s="50" t="s">
        <v>26</v>
      </c>
      <c r="D124" s="45" t="s">
        <v>27</v>
      </c>
      <c r="E124" s="46">
        <f t="shared" si="4"/>
        <v>200</v>
      </c>
      <c r="F124" s="46">
        <v>200</v>
      </c>
      <c r="G124" s="46"/>
      <c r="H124" s="7"/>
      <c r="I124" s="7"/>
      <c r="J124" s="7"/>
    </row>
    <row r="125" spans="1:10" ht="37.5" customHeight="1">
      <c r="A125" s="10"/>
      <c r="B125" s="44" t="s">
        <v>149</v>
      </c>
      <c r="C125" s="50"/>
      <c r="D125" s="42" t="s">
        <v>150</v>
      </c>
      <c r="E125" s="43">
        <f>F125</f>
        <v>1000</v>
      </c>
      <c r="F125" s="43">
        <f>SUM(F126)</f>
        <v>1000</v>
      </c>
      <c r="G125" s="43"/>
      <c r="H125" s="7"/>
      <c r="I125" s="7"/>
      <c r="J125" s="7"/>
    </row>
    <row r="126" spans="1:10" ht="21" customHeight="1">
      <c r="A126" s="12"/>
      <c r="B126" s="50"/>
      <c r="C126" s="50" t="s">
        <v>26</v>
      </c>
      <c r="D126" s="45" t="s">
        <v>27</v>
      </c>
      <c r="E126" s="46">
        <f>F126</f>
        <v>1000</v>
      </c>
      <c r="F126" s="46">
        <v>1000</v>
      </c>
      <c r="G126" s="46"/>
      <c r="H126" s="7"/>
      <c r="I126" s="7"/>
      <c r="J126" s="7"/>
    </row>
    <row r="127" spans="1:10" ht="32.25" customHeight="1">
      <c r="A127" s="47" t="s">
        <v>113</v>
      </c>
      <c r="B127" s="47"/>
      <c r="C127" s="54"/>
      <c r="D127" s="48" t="s">
        <v>114</v>
      </c>
      <c r="E127" s="96">
        <f>SUM(F127:G127)</f>
        <v>2151476.41</v>
      </c>
      <c r="F127" s="96">
        <f>F128+F131+F134+F136+F140+F138</f>
        <v>2151476.41</v>
      </c>
      <c r="G127" s="104" t="s">
        <v>146</v>
      </c>
      <c r="H127" s="22" t="e">
        <f>IF(($G128+$G131+$G134+$G136+#REF!)&gt;0,($G128+$G131+$G134+$G136+#REF!)," ")</f>
        <v>#VALUE!</v>
      </c>
      <c r="I127" s="7"/>
      <c r="J127" s="7"/>
    </row>
    <row r="128" spans="1:10" ht="21.75" customHeight="1">
      <c r="A128" s="14"/>
      <c r="B128" s="44" t="s">
        <v>115</v>
      </c>
      <c r="C128" s="41"/>
      <c r="D128" s="42" t="s">
        <v>116</v>
      </c>
      <c r="E128" s="43">
        <f t="shared" si="4"/>
        <v>232511</v>
      </c>
      <c r="F128" s="43">
        <f>SUM(F129:F130)</f>
        <v>232511</v>
      </c>
      <c r="G128" s="43" t="str">
        <f>IF((G130)&gt;0,(G130)," ")</f>
        <v xml:space="preserve"> </v>
      </c>
      <c r="H128" s="7"/>
      <c r="I128" s="7"/>
      <c r="J128" s="7"/>
    </row>
    <row r="129" spans="1:10" ht="34.5" customHeight="1">
      <c r="A129" s="10"/>
      <c r="B129" s="44"/>
      <c r="C129" s="50" t="s">
        <v>14</v>
      </c>
      <c r="D129" s="45" t="s">
        <v>15</v>
      </c>
      <c r="E129" s="46">
        <f>F129</f>
        <v>252</v>
      </c>
      <c r="F129" s="46">
        <v>252</v>
      </c>
      <c r="G129" s="43"/>
      <c r="H129" s="7"/>
      <c r="I129" s="7"/>
      <c r="J129" s="7"/>
    </row>
    <row r="130" spans="1:10" ht="48" customHeight="1">
      <c r="A130" s="10"/>
      <c r="B130" s="49"/>
      <c r="C130" s="50" t="s">
        <v>12</v>
      </c>
      <c r="D130" s="45" t="s">
        <v>13</v>
      </c>
      <c r="E130" s="46">
        <f t="shared" si="4"/>
        <v>232259</v>
      </c>
      <c r="F130" s="46">
        <v>232259</v>
      </c>
      <c r="G130" s="46"/>
      <c r="H130" s="7"/>
      <c r="I130" s="7"/>
      <c r="J130" s="7"/>
    </row>
    <row r="131" spans="1:10" ht="21.75" customHeight="1">
      <c r="A131" s="10"/>
      <c r="B131" s="40" t="s">
        <v>117</v>
      </c>
      <c r="C131" s="51"/>
      <c r="D131" s="52" t="s">
        <v>118</v>
      </c>
      <c r="E131" s="101">
        <f t="shared" si="4"/>
        <v>374000</v>
      </c>
      <c r="F131" s="101">
        <f>F132</f>
        <v>374000</v>
      </c>
      <c r="G131" s="101" t="str">
        <f>IF(G132&gt;0,G132," ")</f>
        <v xml:space="preserve"> </v>
      </c>
      <c r="H131" s="7"/>
      <c r="I131" s="7"/>
      <c r="J131" s="7"/>
    </row>
    <row r="132" spans="1:10" ht="37.5" customHeight="1">
      <c r="A132" s="12"/>
      <c r="B132" s="50"/>
      <c r="C132" s="41" t="s">
        <v>119</v>
      </c>
      <c r="D132" s="45" t="s">
        <v>229</v>
      </c>
      <c r="E132" s="46">
        <f t="shared" si="4"/>
        <v>374000</v>
      </c>
      <c r="F132" s="46">
        <v>374000</v>
      </c>
      <c r="G132" s="46"/>
      <c r="H132" s="7"/>
      <c r="I132" s="7"/>
      <c r="J132" s="7"/>
    </row>
    <row r="133" spans="1:10" ht="18.75" customHeight="1">
      <c r="A133" s="57" t="s">
        <v>45</v>
      </c>
      <c r="B133" s="169" t="s">
        <v>46</v>
      </c>
      <c r="C133" s="57" t="s">
        <v>47</v>
      </c>
      <c r="D133" s="57" t="s">
        <v>48</v>
      </c>
      <c r="E133" s="58">
        <v>5</v>
      </c>
      <c r="F133" s="58">
        <v>6</v>
      </c>
      <c r="G133" s="58">
        <v>7</v>
      </c>
      <c r="H133" s="7"/>
      <c r="I133" s="7"/>
      <c r="J133" s="7"/>
    </row>
    <row r="134" spans="1:10" ht="20.25" customHeight="1">
      <c r="A134" s="14"/>
      <c r="B134" s="40" t="s">
        <v>120</v>
      </c>
      <c r="C134" s="51"/>
      <c r="D134" s="52" t="s">
        <v>121</v>
      </c>
      <c r="E134" s="101">
        <f t="shared" si="4"/>
        <v>30000</v>
      </c>
      <c r="F134" s="101">
        <f>F135</f>
        <v>30000</v>
      </c>
      <c r="G134" s="101" t="str">
        <f>IF(G135&gt;0,G135," ")</f>
        <v xml:space="preserve"> </v>
      </c>
      <c r="H134" s="7"/>
      <c r="I134" s="7"/>
      <c r="J134" s="7"/>
    </row>
    <row r="135" spans="1:10" ht="19.5" customHeight="1">
      <c r="A135" s="10"/>
      <c r="B135" s="50"/>
      <c r="C135" s="41" t="s">
        <v>26</v>
      </c>
      <c r="D135" s="45" t="s">
        <v>27</v>
      </c>
      <c r="E135" s="46">
        <f t="shared" si="4"/>
        <v>30000</v>
      </c>
      <c r="F135" s="46">
        <v>30000</v>
      </c>
      <c r="G135" s="46"/>
      <c r="H135" s="7"/>
      <c r="I135" s="7"/>
      <c r="J135" s="7"/>
    </row>
    <row r="136" spans="1:10" ht="20.25" customHeight="1">
      <c r="A136" s="10"/>
      <c r="B136" s="40" t="s">
        <v>122</v>
      </c>
      <c r="C136" s="41"/>
      <c r="D136" s="42" t="s">
        <v>123</v>
      </c>
      <c r="E136" s="43">
        <f t="shared" si="4"/>
        <v>300</v>
      </c>
      <c r="F136" s="43">
        <f>F137</f>
        <v>300</v>
      </c>
      <c r="G136" s="43" t="str">
        <f>IF(G137&gt;0,G137," ")</f>
        <v xml:space="preserve"> </v>
      </c>
      <c r="H136" s="7"/>
      <c r="I136" s="7"/>
      <c r="J136" s="7"/>
    </row>
    <row r="137" spans="1:10" ht="16.5" customHeight="1">
      <c r="A137" s="10"/>
      <c r="B137" s="50"/>
      <c r="C137" s="41" t="s">
        <v>26</v>
      </c>
      <c r="D137" s="45" t="s">
        <v>27</v>
      </c>
      <c r="E137" s="46">
        <f t="shared" si="4"/>
        <v>300</v>
      </c>
      <c r="F137" s="46">
        <v>300</v>
      </c>
      <c r="G137" s="46"/>
      <c r="H137" s="7"/>
      <c r="I137" s="7"/>
      <c r="J137" s="7"/>
    </row>
    <row r="138" spans="1:10" ht="20.25" customHeight="1">
      <c r="A138" s="10"/>
      <c r="B138" s="40" t="s">
        <v>235</v>
      </c>
      <c r="C138" s="41"/>
      <c r="D138" s="42" t="s">
        <v>236</v>
      </c>
      <c r="E138" s="43">
        <f t="shared" ref="E138:E139" si="7">SUM(F138:G138)</f>
        <v>3786</v>
      </c>
      <c r="F138" s="43">
        <f>F139</f>
        <v>3786</v>
      </c>
      <c r="G138" s="43" t="str">
        <f>IF(G139&gt;0,G139," ")</f>
        <v xml:space="preserve"> </v>
      </c>
      <c r="H138" s="7"/>
      <c r="I138" s="7"/>
      <c r="J138" s="7"/>
    </row>
    <row r="139" spans="1:10" ht="49.5" customHeight="1">
      <c r="A139" s="10"/>
      <c r="B139" s="50"/>
      <c r="C139" s="41" t="s">
        <v>12</v>
      </c>
      <c r="D139" s="45" t="s">
        <v>13</v>
      </c>
      <c r="E139" s="46">
        <f t="shared" si="7"/>
        <v>3786</v>
      </c>
      <c r="F139" s="46">
        <f>0+3786</f>
        <v>3786</v>
      </c>
      <c r="G139" s="46"/>
      <c r="H139" s="7"/>
      <c r="I139" s="7"/>
      <c r="J139" s="7"/>
    </row>
    <row r="140" spans="1:10" ht="16.5" customHeight="1">
      <c r="A140" s="10"/>
      <c r="B140" s="55" t="s">
        <v>165</v>
      </c>
      <c r="C140" s="49"/>
      <c r="D140" s="52" t="s">
        <v>166</v>
      </c>
      <c r="E140" s="146">
        <f>F140</f>
        <v>1510879.41</v>
      </c>
      <c r="F140" s="146">
        <f>SUM(F141:F143)</f>
        <v>1510879.41</v>
      </c>
      <c r="G140" s="142"/>
      <c r="H140" s="7"/>
      <c r="I140" s="7"/>
      <c r="J140" s="7"/>
    </row>
    <row r="141" spans="1:10" ht="64.150000000000006" customHeight="1">
      <c r="A141" s="10"/>
      <c r="B141" s="56"/>
      <c r="C141" s="50" t="s">
        <v>167</v>
      </c>
      <c r="D141" s="75" t="s">
        <v>170</v>
      </c>
      <c r="E141" s="86">
        <f>F141</f>
        <v>1339733.69</v>
      </c>
      <c r="F141" s="86">
        <v>1339733.69</v>
      </c>
      <c r="G141" s="46"/>
      <c r="H141" s="7"/>
      <c r="I141" s="7"/>
      <c r="J141" s="7"/>
    </row>
    <row r="142" spans="1:10" ht="64.150000000000006" customHeight="1">
      <c r="A142" s="10"/>
      <c r="B142" s="85"/>
      <c r="C142" s="50" t="s">
        <v>174</v>
      </c>
      <c r="D142" s="75" t="s">
        <v>170</v>
      </c>
      <c r="E142" s="86">
        <f>F142</f>
        <v>157615.72</v>
      </c>
      <c r="F142" s="86">
        <v>157615.72</v>
      </c>
      <c r="G142" s="46"/>
      <c r="H142" s="7"/>
      <c r="I142" s="7"/>
      <c r="J142" s="7"/>
    </row>
    <row r="143" spans="1:10" ht="44.25" customHeight="1">
      <c r="A143" s="12"/>
      <c r="B143" s="51"/>
      <c r="C143" s="50" t="s">
        <v>12</v>
      </c>
      <c r="D143" s="45" t="s">
        <v>13</v>
      </c>
      <c r="E143" s="86">
        <f>F143</f>
        <v>13530</v>
      </c>
      <c r="F143" s="86">
        <v>13530</v>
      </c>
      <c r="G143" s="46"/>
      <c r="H143" s="7"/>
      <c r="I143" s="7"/>
      <c r="J143" s="7"/>
    </row>
    <row r="144" spans="1:10" ht="21.75" customHeight="1">
      <c r="A144" s="71" t="s">
        <v>124</v>
      </c>
      <c r="B144" s="71"/>
      <c r="C144" s="54"/>
      <c r="D144" s="48" t="s">
        <v>125</v>
      </c>
      <c r="E144" s="94">
        <f>SUM(F144:G144)</f>
        <v>1123302</v>
      </c>
      <c r="F144" s="94">
        <f>F145+F148+F150+F152+F155+F160</f>
        <v>1123302</v>
      </c>
      <c r="G144" s="94" t="s">
        <v>146</v>
      </c>
      <c r="H144" s="8" t="e">
        <f>IF(($G145+$G148+$G150+$G152+$G155)&gt;0,($G145+$G148+$G150+$G152+$G155)," ")</f>
        <v>#VALUE!</v>
      </c>
      <c r="I144" s="9"/>
      <c r="J144" s="9"/>
    </row>
    <row r="145" spans="1:10" ht="21" customHeight="1">
      <c r="A145" s="16"/>
      <c r="B145" s="60" t="s">
        <v>126</v>
      </c>
      <c r="C145" s="41"/>
      <c r="D145" s="42" t="s">
        <v>127</v>
      </c>
      <c r="E145" s="43">
        <f t="shared" ref="E145:E193" si="8">SUM(F145:G145)</f>
        <v>45609</v>
      </c>
      <c r="F145" s="43">
        <f>SUM(F146:F147)</f>
        <v>45609</v>
      </c>
      <c r="G145" s="102" t="str">
        <f>IF((G146+G147)&gt;0,(G146+G147)," ")</f>
        <v xml:space="preserve"> </v>
      </c>
      <c r="H145" s="7"/>
      <c r="I145" s="7"/>
      <c r="J145" s="7"/>
    </row>
    <row r="146" spans="1:10" ht="21" customHeight="1">
      <c r="A146" s="17"/>
      <c r="B146" s="44"/>
      <c r="C146" s="50" t="s">
        <v>37</v>
      </c>
      <c r="D146" s="45" t="s">
        <v>51</v>
      </c>
      <c r="E146" s="46">
        <f t="shared" si="8"/>
        <v>42624</v>
      </c>
      <c r="F146" s="46">
        <v>42624</v>
      </c>
      <c r="G146" s="103"/>
      <c r="H146" s="7"/>
      <c r="I146" s="7"/>
      <c r="J146" s="7"/>
    </row>
    <row r="147" spans="1:10" ht="20.25" customHeight="1">
      <c r="A147" s="17"/>
      <c r="B147" s="49"/>
      <c r="C147" s="50" t="s">
        <v>26</v>
      </c>
      <c r="D147" s="45" t="s">
        <v>27</v>
      </c>
      <c r="E147" s="46">
        <f t="shared" si="8"/>
        <v>2985</v>
      </c>
      <c r="F147" s="46">
        <v>2985</v>
      </c>
      <c r="G147" s="103"/>
      <c r="H147" s="7"/>
      <c r="I147" s="7"/>
      <c r="J147" s="7"/>
    </row>
    <row r="148" spans="1:10" ht="21.75" customHeight="1">
      <c r="A148" s="17"/>
      <c r="B148" s="40" t="s">
        <v>128</v>
      </c>
      <c r="C148" s="41"/>
      <c r="D148" s="42" t="s">
        <v>129</v>
      </c>
      <c r="E148" s="43">
        <f t="shared" si="8"/>
        <v>21082</v>
      </c>
      <c r="F148" s="43">
        <f>F149</f>
        <v>21082</v>
      </c>
      <c r="G148" s="102" t="str">
        <f>IF(G149&gt;0,G149," ")</f>
        <v xml:space="preserve"> </v>
      </c>
      <c r="H148" s="7"/>
      <c r="I148" s="7"/>
      <c r="J148" s="7"/>
    </row>
    <row r="149" spans="1:10" ht="16.5" customHeight="1">
      <c r="A149" s="17"/>
      <c r="B149" s="50"/>
      <c r="C149" s="50" t="s">
        <v>26</v>
      </c>
      <c r="D149" s="45" t="s">
        <v>27</v>
      </c>
      <c r="E149" s="46">
        <f t="shared" si="8"/>
        <v>21082</v>
      </c>
      <c r="F149" s="46">
        <v>21082</v>
      </c>
      <c r="G149" s="103"/>
      <c r="H149" s="7"/>
      <c r="I149" s="7"/>
      <c r="J149" s="7"/>
    </row>
    <row r="150" spans="1:10" ht="21.75" customHeight="1">
      <c r="A150" s="17"/>
      <c r="B150" s="40" t="s">
        <v>130</v>
      </c>
      <c r="C150" s="41"/>
      <c r="D150" s="42" t="s">
        <v>131</v>
      </c>
      <c r="E150" s="43">
        <f>SUM(F150:G150)</f>
        <v>36</v>
      </c>
      <c r="F150" s="43">
        <f>F151</f>
        <v>36</v>
      </c>
      <c r="G150" s="102" t="str">
        <f>IF(G151&gt;0,G151," ")</f>
        <v xml:space="preserve"> </v>
      </c>
      <c r="H150" s="7"/>
      <c r="I150" s="7"/>
      <c r="J150" s="7"/>
    </row>
    <row r="151" spans="1:10" ht="18" customHeight="1">
      <c r="A151" s="17"/>
      <c r="B151" s="50"/>
      <c r="C151" s="50" t="s">
        <v>26</v>
      </c>
      <c r="D151" s="45" t="s">
        <v>27</v>
      </c>
      <c r="E151" s="46">
        <f t="shared" si="8"/>
        <v>36</v>
      </c>
      <c r="F151" s="46">
        <v>36</v>
      </c>
      <c r="G151" s="103"/>
      <c r="H151" s="7"/>
      <c r="I151" s="7"/>
      <c r="J151" s="7"/>
    </row>
    <row r="152" spans="1:10" ht="19.5" customHeight="1">
      <c r="A152" s="17"/>
      <c r="B152" s="40" t="s">
        <v>132</v>
      </c>
      <c r="C152" s="51"/>
      <c r="D152" s="52" t="s">
        <v>133</v>
      </c>
      <c r="E152" s="101">
        <f t="shared" si="8"/>
        <v>835643</v>
      </c>
      <c r="F152" s="101">
        <f>SUM(F153:F154)</f>
        <v>835643</v>
      </c>
      <c r="G152" s="105" t="str">
        <f>IF((G153+G154)&gt;0,(G153+G154)," ")</f>
        <v xml:space="preserve"> </v>
      </c>
      <c r="H152" s="7"/>
      <c r="I152" s="7"/>
      <c r="J152" s="7"/>
    </row>
    <row r="153" spans="1:10" ht="18" customHeight="1">
      <c r="A153" s="17"/>
      <c r="B153" s="44"/>
      <c r="C153" s="50" t="s">
        <v>95</v>
      </c>
      <c r="D153" s="45" t="s">
        <v>96</v>
      </c>
      <c r="E153" s="46">
        <f t="shared" si="8"/>
        <v>554498</v>
      </c>
      <c r="F153" s="46">
        <v>554498</v>
      </c>
      <c r="G153" s="103"/>
      <c r="H153" s="7"/>
      <c r="I153" s="7"/>
      <c r="J153" s="7"/>
    </row>
    <row r="154" spans="1:10" ht="18.75" customHeight="1">
      <c r="A154" s="17"/>
      <c r="B154" s="49"/>
      <c r="C154" s="50" t="s">
        <v>26</v>
      </c>
      <c r="D154" s="45" t="s">
        <v>27</v>
      </c>
      <c r="E154" s="46">
        <f t="shared" si="8"/>
        <v>281145</v>
      </c>
      <c r="F154" s="46">
        <v>281145</v>
      </c>
      <c r="G154" s="103"/>
      <c r="H154" s="7"/>
      <c r="I154" s="7"/>
      <c r="J154" s="7"/>
    </row>
    <row r="155" spans="1:10" ht="18.75" customHeight="1">
      <c r="A155" s="17"/>
      <c r="B155" s="40" t="s">
        <v>134</v>
      </c>
      <c r="C155" s="41"/>
      <c r="D155" s="42" t="s">
        <v>135</v>
      </c>
      <c r="E155" s="43">
        <f t="shared" si="8"/>
        <v>48816</v>
      </c>
      <c r="F155" s="43">
        <f>SUM(F156:F159)</f>
        <v>48816</v>
      </c>
      <c r="G155" s="102" t="str">
        <f>IF((G156+G157+G159)&gt;0,(G156+G157+G159)," ")</f>
        <v xml:space="preserve"> </v>
      </c>
      <c r="H155" s="7"/>
      <c r="I155" s="7"/>
      <c r="J155" s="7"/>
    </row>
    <row r="156" spans="1:10" ht="19.5" customHeight="1">
      <c r="A156" s="17"/>
      <c r="B156" s="44"/>
      <c r="C156" s="50" t="s">
        <v>37</v>
      </c>
      <c r="D156" s="45" t="s">
        <v>51</v>
      </c>
      <c r="E156" s="46">
        <f t="shared" si="8"/>
        <v>30000</v>
      </c>
      <c r="F156" s="46">
        <v>30000</v>
      </c>
      <c r="G156" s="103"/>
      <c r="H156" s="7"/>
      <c r="I156" s="7"/>
      <c r="J156" s="7"/>
    </row>
    <row r="157" spans="1:10" ht="18" customHeight="1">
      <c r="A157" s="17"/>
      <c r="B157" s="55"/>
      <c r="C157" s="50" t="s">
        <v>95</v>
      </c>
      <c r="D157" s="45" t="s">
        <v>96</v>
      </c>
      <c r="E157" s="46">
        <f t="shared" si="8"/>
        <v>5000</v>
      </c>
      <c r="F157" s="46">
        <v>5000</v>
      </c>
      <c r="G157" s="103"/>
      <c r="H157" s="7"/>
      <c r="I157" s="7"/>
      <c r="J157" s="7"/>
    </row>
    <row r="158" spans="1:10" ht="18" customHeight="1">
      <c r="A158" s="17"/>
      <c r="B158" s="55"/>
      <c r="C158" s="50" t="s">
        <v>227</v>
      </c>
      <c r="D158" s="45" t="s">
        <v>228</v>
      </c>
      <c r="E158" s="46">
        <f t="shared" si="8"/>
        <v>500</v>
      </c>
      <c r="F158" s="46">
        <v>500</v>
      </c>
      <c r="G158" s="103"/>
      <c r="H158" s="7"/>
      <c r="I158" s="7"/>
      <c r="J158" s="7"/>
    </row>
    <row r="159" spans="1:10" ht="18" customHeight="1">
      <c r="A159" s="17"/>
      <c r="B159" s="49"/>
      <c r="C159" s="50" t="s">
        <v>26</v>
      </c>
      <c r="D159" s="45" t="s">
        <v>27</v>
      </c>
      <c r="E159" s="46">
        <f t="shared" si="8"/>
        <v>13316</v>
      </c>
      <c r="F159" s="46">
        <v>13316</v>
      </c>
      <c r="G159" s="106"/>
      <c r="H159" s="7"/>
      <c r="I159" s="7"/>
      <c r="J159" s="7"/>
    </row>
    <row r="160" spans="1:10" ht="22.5" customHeight="1">
      <c r="A160" s="17"/>
      <c r="B160" s="50" t="s">
        <v>136</v>
      </c>
      <c r="C160" s="50"/>
      <c r="D160" s="42" t="s">
        <v>137</v>
      </c>
      <c r="E160" s="43">
        <f t="shared" ref="E160:E165" si="9">F160</f>
        <v>172116</v>
      </c>
      <c r="F160" s="43">
        <f>SUM(F161:F162)</f>
        <v>172116</v>
      </c>
      <c r="G160" s="106"/>
      <c r="H160" s="7"/>
      <c r="I160" s="7"/>
      <c r="J160" s="7"/>
    </row>
    <row r="161" spans="1:10" ht="21" customHeight="1">
      <c r="A161" s="17"/>
      <c r="B161" s="44"/>
      <c r="C161" s="50" t="s">
        <v>37</v>
      </c>
      <c r="D161" s="45" t="s">
        <v>51</v>
      </c>
      <c r="E161" s="46">
        <f t="shared" si="9"/>
        <v>171600</v>
      </c>
      <c r="F161" s="46">
        <v>171600</v>
      </c>
      <c r="G161" s="106"/>
      <c r="H161" s="7"/>
      <c r="I161" s="7"/>
      <c r="J161" s="7"/>
    </row>
    <row r="162" spans="1:10" ht="20.25" customHeight="1">
      <c r="A162" s="18"/>
      <c r="B162" s="49"/>
      <c r="C162" s="50" t="s">
        <v>26</v>
      </c>
      <c r="D162" s="45" t="s">
        <v>27</v>
      </c>
      <c r="E162" s="46">
        <f t="shared" si="9"/>
        <v>516</v>
      </c>
      <c r="F162" s="46">
        <v>516</v>
      </c>
      <c r="G162" s="106"/>
      <c r="H162" s="7"/>
      <c r="I162" s="7"/>
      <c r="J162" s="7"/>
    </row>
    <row r="163" spans="1:10" ht="20.25" customHeight="1">
      <c r="A163" s="124" t="s">
        <v>177</v>
      </c>
      <c r="B163" s="108"/>
      <c r="C163" s="109"/>
      <c r="D163" s="66" t="s">
        <v>178</v>
      </c>
      <c r="E163" s="92">
        <f t="shared" si="9"/>
        <v>3035497</v>
      </c>
      <c r="F163" s="92">
        <f>F166+F173+F164</f>
        <v>3035497</v>
      </c>
      <c r="G163" s="110"/>
      <c r="H163" s="7"/>
      <c r="I163" s="7"/>
      <c r="J163" s="7"/>
    </row>
    <row r="164" spans="1:10" ht="20.25" customHeight="1">
      <c r="A164" s="117"/>
      <c r="B164" s="80" t="s">
        <v>233</v>
      </c>
      <c r="C164" s="112"/>
      <c r="D164" s="113" t="s">
        <v>234</v>
      </c>
      <c r="E164" s="98">
        <f t="shared" si="9"/>
        <v>775</v>
      </c>
      <c r="F164" s="98">
        <f>SUM(F165)</f>
        <v>775</v>
      </c>
      <c r="G164" s="114"/>
      <c r="H164" s="7"/>
      <c r="I164" s="7"/>
      <c r="J164" s="7"/>
    </row>
    <row r="165" spans="1:10" ht="48.75" customHeight="1">
      <c r="A165" s="117"/>
      <c r="B165" s="115"/>
      <c r="C165" s="112" t="s">
        <v>12</v>
      </c>
      <c r="D165" s="45" t="s">
        <v>13</v>
      </c>
      <c r="E165" s="143">
        <f t="shared" si="9"/>
        <v>775</v>
      </c>
      <c r="F165" s="143">
        <v>775</v>
      </c>
      <c r="G165" s="174"/>
      <c r="H165" s="7"/>
      <c r="I165" s="7"/>
      <c r="J165" s="7"/>
    </row>
    <row r="166" spans="1:10" ht="20.25" customHeight="1">
      <c r="A166" s="117"/>
      <c r="B166" s="80" t="s">
        <v>179</v>
      </c>
      <c r="C166" s="112"/>
      <c r="D166" s="113" t="s">
        <v>110</v>
      </c>
      <c r="E166" s="98">
        <f t="shared" ref="E166:E176" si="10">F166</f>
        <v>1834358</v>
      </c>
      <c r="F166" s="98">
        <f>SUM(F167:F172)</f>
        <v>1834358</v>
      </c>
      <c r="G166" s="114"/>
      <c r="H166" s="7"/>
      <c r="I166" s="7"/>
      <c r="J166" s="7"/>
    </row>
    <row r="167" spans="1:10" ht="20.25" customHeight="1">
      <c r="A167" s="117"/>
      <c r="B167" s="116"/>
      <c r="C167" s="112" t="s">
        <v>148</v>
      </c>
      <c r="D167" s="45" t="s">
        <v>162</v>
      </c>
      <c r="E167" s="143">
        <f t="shared" si="10"/>
        <v>9588</v>
      </c>
      <c r="F167" s="143">
        <v>9588</v>
      </c>
      <c r="G167" s="114"/>
      <c r="H167" s="7"/>
      <c r="I167" s="7"/>
      <c r="J167" s="7"/>
    </row>
    <row r="168" spans="1:10" ht="20.25" customHeight="1">
      <c r="A168" s="117"/>
      <c r="B168" s="115"/>
      <c r="C168" s="112" t="s">
        <v>95</v>
      </c>
      <c r="D168" s="53" t="s">
        <v>96</v>
      </c>
      <c r="E168" s="143">
        <f t="shared" si="10"/>
        <v>379641</v>
      </c>
      <c r="F168" s="143">
        <v>379641</v>
      </c>
      <c r="G168" s="114"/>
      <c r="H168" s="7"/>
      <c r="I168" s="7"/>
      <c r="J168" s="7"/>
    </row>
    <row r="169" spans="1:10" ht="20.25" customHeight="1">
      <c r="A169" s="117"/>
      <c r="B169" s="115"/>
      <c r="C169" s="112" t="s">
        <v>216</v>
      </c>
      <c r="D169" s="53" t="s">
        <v>217</v>
      </c>
      <c r="E169" s="143">
        <f>F169</f>
        <v>2798</v>
      </c>
      <c r="F169" s="143">
        <v>2798</v>
      </c>
      <c r="G169" s="114"/>
      <c r="H169" s="7"/>
      <c r="I169" s="7"/>
      <c r="J169" s="7"/>
    </row>
    <row r="170" spans="1:10" ht="46.5" customHeight="1">
      <c r="A170" s="117"/>
      <c r="B170" s="115"/>
      <c r="C170" s="112" t="s">
        <v>12</v>
      </c>
      <c r="D170" s="45" t="s">
        <v>13</v>
      </c>
      <c r="E170" s="143">
        <f>F170</f>
        <v>12364</v>
      </c>
      <c r="F170" s="143">
        <v>12364</v>
      </c>
      <c r="G170" s="114"/>
      <c r="H170" s="7"/>
      <c r="I170" s="7"/>
      <c r="J170" s="7"/>
    </row>
    <row r="171" spans="1:10" ht="64.5" customHeight="1">
      <c r="A171" s="117"/>
      <c r="B171" s="115"/>
      <c r="C171" s="112" t="s">
        <v>186</v>
      </c>
      <c r="D171" s="45" t="s">
        <v>187</v>
      </c>
      <c r="E171" s="143">
        <f t="shared" si="10"/>
        <v>680607</v>
      </c>
      <c r="F171" s="143">
        <v>680607</v>
      </c>
      <c r="G171" s="114"/>
      <c r="H171" s="7"/>
      <c r="I171" s="7"/>
      <c r="J171" s="7"/>
    </row>
    <row r="172" spans="1:10" ht="30" customHeight="1">
      <c r="A172" s="117"/>
      <c r="B172" s="111"/>
      <c r="C172" s="112" t="s">
        <v>103</v>
      </c>
      <c r="D172" s="45" t="s">
        <v>104</v>
      </c>
      <c r="E172" s="143">
        <f t="shared" si="10"/>
        <v>749360</v>
      </c>
      <c r="F172" s="143">
        <v>749360</v>
      </c>
      <c r="G172" s="114"/>
      <c r="H172" s="7"/>
      <c r="I172" s="7"/>
      <c r="J172" s="7"/>
    </row>
    <row r="173" spans="1:10" ht="20.25" customHeight="1">
      <c r="A173" s="117"/>
      <c r="B173" s="115" t="s">
        <v>180</v>
      </c>
      <c r="C173" s="112"/>
      <c r="D173" s="113" t="s">
        <v>181</v>
      </c>
      <c r="E173" s="98">
        <f t="shared" si="10"/>
        <v>1200364</v>
      </c>
      <c r="F173" s="98">
        <f>SUM(F174:F177)</f>
        <v>1200364</v>
      </c>
      <c r="G173" s="114"/>
      <c r="H173" s="7"/>
      <c r="I173" s="7"/>
      <c r="J173" s="7"/>
    </row>
    <row r="174" spans="1:10" ht="20.25" customHeight="1">
      <c r="A174" s="117"/>
      <c r="B174" s="116"/>
      <c r="C174" s="112" t="s">
        <v>148</v>
      </c>
      <c r="D174" s="45" t="s">
        <v>162</v>
      </c>
      <c r="E174" s="143">
        <f t="shared" si="10"/>
        <v>2000</v>
      </c>
      <c r="F174" s="143">
        <v>2000</v>
      </c>
      <c r="G174" s="114"/>
      <c r="H174" s="7"/>
      <c r="I174" s="7"/>
      <c r="J174" s="7"/>
    </row>
    <row r="175" spans="1:10" ht="20.25" customHeight="1">
      <c r="A175" s="117"/>
      <c r="B175" s="115"/>
      <c r="C175" s="50" t="s">
        <v>95</v>
      </c>
      <c r="D175" s="45" t="s">
        <v>96</v>
      </c>
      <c r="E175" s="143">
        <f t="shared" si="10"/>
        <v>59075</v>
      </c>
      <c r="F175" s="143">
        <v>59075</v>
      </c>
      <c r="G175" s="114"/>
      <c r="H175" s="7"/>
      <c r="I175" s="7"/>
      <c r="J175" s="7"/>
    </row>
    <row r="176" spans="1:10" ht="20.25" customHeight="1">
      <c r="A176" s="117"/>
      <c r="B176" s="115"/>
      <c r="C176" s="50" t="s">
        <v>26</v>
      </c>
      <c r="D176" s="45" t="s">
        <v>27</v>
      </c>
      <c r="E176" s="143">
        <f t="shared" si="10"/>
        <v>250</v>
      </c>
      <c r="F176" s="143">
        <v>250</v>
      </c>
      <c r="G176" s="114"/>
      <c r="H176" s="7"/>
      <c r="I176" s="7"/>
      <c r="J176" s="7"/>
    </row>
    <row r="177" spans="1:10" ht="30" customHeight="1">
      <c r="A177" s="18"/>
      <c r="B177" s="49"/>
      <c r="C177" s="50" t="s">
        <v>103</v>
      </c>
      <c r="D177" s="45" t="s">
        <v>104</v>
      </c>
      <c r="E177" s="46">
        <f>F177</f>
        <v>1139039</v>
      </c>
      <c r="F177" s="46">
        <v>1139039</v>
      </c>
      <c r="G177" s="106"/>
      <c r="H177" s="7"/>
      <c r="I177" s="7"/>
      <c r="J177" s="7"/>
    </row>
    <row r="178" spans="1:10" ht="24" customHeight="1">
      <c r="A178" s="70" t="s">
        <v>138</v>
      </c>
      <c r="B178" s="71"/>
      <c r="C178" s="47"/>
      <c r="D178" s="48" t="s">
        <v>139</v>
      </c>
      <c r="E178" s="94">
        <f>SUM(F178:G178)</f>
        <v>150500</v>
      </c>
      <c r="F178" s="94">
        <f>F179</f>
        <v>150500</v>
      </c>
      <c r="G178" s="104" t="s">
        <v>146</v>
      </c>
      <c r="H178" s="22"/>
      <c r="I178" s="7"/>
      <c r="J178" s="7"/>
    </row>
    <row r="179" spans="1:10" ht="30.75" customHeight="1">
      <c r="A179" s="68"/>
      <c r="B179" s="41" t="s">
        <v>140</v>
      </c>
      <c r="C179" s="59"/>
      <c r="D179" s="67" t="s">
        <v>141</v>
      </c>
      <c r="E179" s="43">
        <f t="shared" ref="E179:E181" si="11">F179</f>
        <v>150500</v>
      </c>
      <c r="F179" s="43">
        <f>F180+F181</f>
        <v>150500</v>
      </c>
      <c r="G179" s="107" t="s">
        <v>146</v>
      </c>
      <c r="H179" s="24"/>
      <c r="I179" s="7"/>
      <c r="J179" s="7"/>
    </row>
    <row r="180" spans="1:10" ht="33.75" customHeight="1">
      <c r="A180" s="72"/>
      <c r="B180" s="68"/>
      <c r="C180" s="69" t="s">
        <v>142</v>
      </c>
      <c r="D180" s="45" t="s">
        <v>171</v>
      </c>
      <c r="E180" s="46">
        <f t="shared" si="11"/>
        <v>500</v>
      </c>
      <c r="F180" s="46">
        <v>500</v>
      </c>
      <c r="G180" s="107"/>
      <c r="H180" s="24"/>
      <c r="I180" s="7"/>
      <c r="J180" s="7"/>
    </row>
    <row r="181" spans="1:10" ht="20.25" customHeight="1">
      <c r="A181" s="144"/>
      <c r="B181" s="145"/>
      <c r="C181" s="69" t="s">
        <v>37</v>
      </c>
      <c r="D181" s="45" t="s">
        <v>51</v>
      </c>
      <c r="E181" s="46">
        <f t="shared" si="11"/>
        <v>150000</v>
      </c>
      <c r="F181" s="46">
        <v>150000</v>
      </c>
      <c r="G181" s="107"/>
      <c r="H181" s="24"/>
      <c r="I181" s="7"/>
      <c r="J181" s="7"/>
    </row>
    <row r="182" spans="1:10" ht="20.25" customHeight="1">
      <c r="A182" s="131" t="s">
        <v>197</v>
      </c>
      <c r="B182" s="132"/>
      <c r="C182" s="132"/>
      <c r="D182" s="133" t="s">
        <v>202</v>
      </c>
      <c r="E182" s="92">
        <f>G182</f>
        <v>875900</v>
      </c>
      <c r="F182" s="134"/>
      <c r="G182" s="135">
        <f>G183</f>
        <v>875900</v>
      </c>
      <c r="H182" s="24"/>
      <c r="I182" s="7"/>
      <c r="J182" s="7"/>
    </row>
    <row r="183" spans="1:10" ht="20.25" customHeight="1">
      <c r="A183" s="72"/>
      <c r="B183" s="41" t="s">
        <v>198</v>
      </c>
      <c r="C183" s="59"/>
      <c r="D183" s="130" t="s">
        <v>199</v>
      </c>
      <c r="E183" s="43">
        <f>G183</f>
        <v>875900</v>
      </c>
      <c r="F183" s="129"/>
      <c r="G183" s="107">
        <f>SUM(G184)</f>
        <v>875900</v>
      </c>
      <c r="H183" s="24"/>
      <c r="I183" s="7"/>
      <c r="J183" s="7"/>
    </row>
    <row r="184" spans="1:10" ht="46.5" customHeight="1">
      <c r="A184" s="72"/>
      <c r="B184" s="59" t="s">
        <v>146</v>
      </c>
      <c r="C184" s="59" t="s">
        <v>201</v>
      </c>
      <c r="D184" s="136" t="s">
        <v>200</v>
      </c>
      <c r="E184" s="46">
        <f xml:space="preserve"> G184</f>
        <v>875900</v>
      </c>
      <c r="F184" s="46" t="s">
        <v>146</v>
      </c>
      <c r="G184" s="46">
        <v>875900</v>
      </c>
      <c r="H184" s="24"/>
      <c r="I184" s="7"/>
      <c r="J184" s="7"/>
    </row>
    <row r="185" spans="1:10" ht="35.25" customHeight="1">
      <c r="A185" s="26"/>
      <c r="B185" s="27"/>
      <c r="C185" s="28"/>
      <c r="D185" s="54" t="s">
        <v>143</v>
      </c>
      <c r="E185" s="96">
        <f>SUM(F185:G185)</f>
        <v>85539188.829999998</v>
      </c>
      <c r="F185" s="96">
        <f>F14+F20+F27+F35+F42+F52+F66+F74+F82+F92+F113+F118+F127+F144+F178+F23+F163+F71+F61</f>
        <v>81184666.799999997</v>
      </c>
      <c r="G185" s="96">
        <f>G27+G35+G113+G182+G14</f>
        <v>4354522.0299999993</v>
      </c>
      <c r="H185" s="7"/>
      <c r="I185" s="7"/>
      <c r="J185" s="7"/>
    </row>
    <row r="186" spans="1:10" ht="65.45" customHeight="1">
      <c r="A186" s="25"/>
      <c r="B186" s="29"/>
      <c r="C186" s="59" t="s">
        <v>167</v>
      </c>
      <c r="D186" s="75" t="s">
        <v>191</v>
      </c>
      <c r="E186" s="86">
        <f>SUM(F186:G186)</f>
        <v>6469697.9299999997</v>
      </c>
      <c r="F186" s="86">
        <f>IF((SUMIF($C$14:$C$184,2057,$F$14:$F$185))&gt;0,(SUMIF($C$14:$C$184,2057,$F$14:$F$185))," ")</f>
        <v>6469697.9299999997</v>
      </c>
      <c r="G186" s="43"/>
      <c r="H186" s="7"/>
      <c r="I186" s="7"/>
      <c r="J186" s="7"/>
    </row>
    <row r="187" spans="1:10" ht="65.45" customHeight="1">
      <c r="A187" s="25"/>
      <c r="B187" s="29"/>
      <c r="C187" s="59" t="s">
        <v>174</v>
      </c>
      <c r="D187" s="75" t="s">
        <v>191</v>
      </c>
      <c r="E187" s="86">
        <f>F187</f>
        <v>189346.3</v>
      </c>
      <c r="F187" s="86">
        <f>IF((SUMIF($C$14:$C$184,2059,$F$14:$F$185))&gt;0,(SUMIF($C$14:$C$185,2059,$F$14:$F$185))," ")</f>
        <v>189346.3</v>
      </c>
      <c r="G187" s="43"/>
      <c r="H187" s="7"/>
      <c r="I187" s="7"/>
      <c r="J187" s="7"/>
    </row>
    <row r="188" spans="1:10" ht="51" customHeight="1">
      <c r="A188" s="30"/>
      <c r="B188" s="31"/>
      <c r="C188" s="59" t="s">
        <v>12</v>
      </c>
      <c r="D188" s="75" t="s">
        <v>13</v>
      </c>
      <c r="E188" s="46">
        <f t="shared" si="8"/>
        <v>6296112</v>
      </c>
      <c r="F188" s="86">
        <f>IF((SUMIF($C$14:$C$184,2110,$F$14:$F$185))&gt;0,(SUMIF($C$14:$C$185,2110,$F$14:$F$185))," ")</f>
        <v>6296112</v>
      </c>
      <c r="G188" s="46" t="s">
        <v>146</v>
      </c>
      <c r="H188" s="7"/>
      <c r="I188" s="7"/>
      <c r="J188" s="7"/>
    </row>
    <row r="189" spans="1:10" ht="42.75" customHeight="1">
      <c r="A189" s="30"/>
      <c r="B189" s="31"/>
      <c r="C189" s="59" t="s">
        <v>54</v>
      </c>
      <c r="D189" s="75" t="s">
        <v>55</v>
      </c>
      <c r="E189" s="46">
        <f>SUM(F189:G189)</f>
        <v>2000</v>
      </c>
      <c r="F189" s="86">
        <f>IF((SUMIF($C$14:$C$184,2120,$F$14:$F$185))&gt;0,(SUMIF($C$14:$C$184,2120,$F$14:$F$185))," ")</f>
        <v>2000</v>
      </c>
      <c r="G189" s="46" t="str">
        <f>IF((SUMIF($C$14:$C$185,2120,$G$14:$G$185))&gt;0,(SUMIF($C$14:$C$185,2120,$G$14:$G$185))," ")</f>
        <v xml:space="preserve"> </v>
      </c>
      <c r="H189" s="7"/>
      <c r="I189" s="7"/>
      <c r="J189" s="7"/>
    </row>
    <row r="190" spans="1:10" ht="36" customHeight="1">
      <c r="A190" s="30"/>
      <c r="B190" s="31"/>
      <c r="C190" s="59" t="s">
        <v>107</v>
      </c>
      <c r="D190" s="75" t="s">
        <v>108</v>
      </c>
      <c r="E190" s="46">
        <f t="shared" si="8"/>
        <v>420024</v>
      </c>
      <c r="F190" s="86">
        <f>IF((SUMIF($C$14:$C$184,2130,$F$14:$F$185))&gt;0,(SUMIF($C$14:$C$184,2130,$F$14:$F$185))," ")</f>
        <v>420024</v>
      </c>
      <c r="G190" s="46" t="str">
        <f>IF((SUMIF($C$14:$C$185,2130,$G$14:$G$185))&gt;0,(SUMIF($C$14:$C$185,2130,$G$14:$G$185))," ")</f>
        <v xml:space="preserve"> </v>
      </c>
      <c r="H190" s="7"/>
      <c r="I190" s="7"/>
      <c r="J190" s="7"/>
    </row>
    <row r="191" spans="1:10" ht="63">
      <c r="A191" s="30"/>
      <c r="B191" s="31"/>
      <c r="C191" s="59" t="s">
        <v>186</v>
      </c>
      <c r="D191" s="45" t="s">
        <v>187</v>
      </c>
      <c r="E191" s="46">
        <f>F191</f>
        <v>680607</v>
      </c>
      <c r="F191" s="86">
        <f>IF((SUMIF($C$14:$C$184,2160,$F$14:$F$185))&gt;0,(SUMIF($C$14:$C$184,2160,$F$14:$F$185))," ")</f>
        <v>680607</v>
      </c>
      <c r="G191" s="46"/>
      <c r="H191" s="7"/>
      <c r="I191" s="7"/>
      <c r="J191" s="7"/>
    </row>
    <row r="192" spans="1:10" ht="35.25" customHeight="1">
      <c r="A192" s="30"/>
      <c r="B192" s="31"/>
      <c r="C192" s="59" t="s">
        <v>89</v>
      </c>
      <c r="D192" s="75" t="s">
        <v>90</v>
      </c>
      <c r="E192" s="46">
        <f t="shared" si="8"/>
        <v>73721</v>
      </c>
      <c r="F192" s="86">
        <f>IF((SUMIF($C$14:$C$184,2310,$F$14:$F$185))&gt;0,(SUMIF($C$14:$C$184,2310,$F$14:$F$185))," ")</f>
        <v>73721</v>
      </c>
      <c r="G192" s="46" t="str">
        <f>IF((SUMIF($C$14:$C$185,2310,$G$14:$G$185))&gt;0,(SUMIF($C$14:$C$185,2310,$G$14:$G$185))," ")</f>
        <v xml:space="preserve"> </v>
      </c>
      <c r="H192" s="7"/>
      <c r="I192" s="7"/>
      <c r="J192" s="7"/>
    </row>
    <row r="193" spans="1:10" ht="36.75" customHeight="1">
      <c r="A193" s="30"/>
      <c r="B193" s="31"/>
      <c r="C193" s="59" t="s">
        <v>103</v>
      </c>
      <c r="D193" s="75" t="s">
        <v>104</v>
      </c>
      <c r="E193" s="46">
        <f t="shared" si="8"/>
        <v>1888399</v>
      </c>
      <c r="F193" s="86">
        <f>IF((SUMIF($C$14:$C$184,2320,$F$14:$F$185))&gt;0,(SUMIF($C$14:$C$184,2320,$F$14:$F$185))," ")</f>
        <v>1888399</v>
      </c>
      <c r="G193" s="46" t="str">
        <f>IF((SUMIF($C$14:$C$185,2320,$G$14:$G$185))&gt;0,(SUMIF($C$14:$C$185,2320,$G$14:$G$185))," ")</f>
        <v xml:space="preserve"> </v>
      </c>
      <c r="H193" s="7"/>
      <c r="I193" s="7"/>
      <c r="J193" s="7"/>
    </row>
    <row r="194" spans="1:10" ht="36.75" customHeight="1">
      <c r="A194" s="30"/>
      <c r="B194" s="31"/>
      <c r="C194" s="59" t="s">
        <v>189</v>
      </c>
      <c r="D194" s="75" t="s">
        <v>104</v>
      </c>
      <c r="E194" s="86">
        <f>F194</f>
        <v>813236.23</v>
      </c>
      <c r="F194" s="86">
        <f>IF((SUMIF($C$14:$C$184,2329,$F$14:$F$185))&gt;0,(SUMIF($C$14:$C$184,2329,$F$14:$F$185))," ")</f>
        <v>813236.23</v>
      </c>
      <c r="G194" s="46"/>
      <c r="H194" s="7"/>
      <c r="I194" s="7"/>
      <c r="J194" s="7"/>
    </row>
    <row r="195" spans="1:10" ht="52.5" customHeight="1">
      <c r="A195" s="30"/>
      <c r="B195" s="31"/>
      <c r="C195" s="59" t="s">
        <v>153</v>
      </c>
      <c r="D195" s="75" t="s">
        <v>193</v>
      </c>
      <c r="E195" s="46">
        <f>F195</f>
        <v>207570</v>
      </c>
      <c r="F195" s="86">
        <f>IF((SUMIF($C$14:$C$184,2710,$F$14:$F$185))&gt;0,(SUMIF($C$14:$C$184,2710,$F$14:$F$185))," ")</f>
        <v>207570</v>
      </c>
      <c r="G195" s="46"/>
      <c r="H195" s="7"/>
      <c r="I195" s="7"/>
      <c r="J195" s="7" t="s">
        <v>146</v>
      </c>
    </row>
    <row r="196" spans="1:10" ht="27.75" customHeight="1">
      <c r="A196" s="30"/>
      <c r="B196" s="31"/>
      <c r="C196" s="59" t="s">
        <v>75</v>
      </c>
      <c r="D196" s="75" t="s">
        <v>76</v>
      </c>
      <c r="E196" s="46">
        <f ca="1">F196</f>
        <v>41939478</v>
      </c>
      <c r="F196" s="46">
        <f ca="1">IF((SUMIF($C$14:$C$184,2920,$F$14:$F$185))&gt;0,(SUMIF($C$14:$C$185,2920,$F$14:$F$184))," ")</f>
        <v>41939478</v>
      </c>
      <c r="G196" s="46"/>
      <c r="H196" s="7"/>
      <c r="I196" s="7"/>
      <c r="J196" s="7"/>
    </row>
    <row r="197" spans="1:10" ht="62.25" customHeight="1">
      <c r="A197" s="30"/>
      <c r="B197" s="31"/>
      <c r="C197" s="59" t="s">
        <v>188</v>
      </c>
      <c r="D197" s="75" t="s">
        <v>191</v>
      </c>
      <c r="E197" s="46">
        <f>G197</f>
        <v>2408330</v>
      </c>
      <c r="F197" s="46"/>
      <c r="G197" s="46">
        <f>IF((SUMIF($C$14:$C$185,6257,$G$14:$G$185))&gt;0,(SUMIF($C$14:$C$185,6257,$G$14:$G$185))," ")</f>
        <v>2408330</v>
      </c>
      <c r="H197" s="7"/>
      <c r="I197" s="7"/>
      <c r="J197" s="7" t="s">
        <v>146</v>
      </c>
    </row>
    <row r="198" spans="1:10" ht="50.25" customHeight="1">
      <c r="A198" s="30"/>
      <c r="B198" s="31"/>
      <c r="C198" s="59" t="s">
        <v>201</v>
      </c>
      <c r="D198" s="136" t="s">
        <v>200</v>
      </c>
      <c r="E198" s="46">
        <f>G198</f>
        <v>875900</v>
      </c>
      <c r="F198" s="46"/>
      <c r="G198" s="46">
        <f>IF((SUMIF($C$14:$C$185,6260,$G$14:$G$185))&gt;0,(SUMIF($C$14:$C$185,6260,$G$14:$G$185))," ")</f>
        <v>875900</v>
      </c>
      <c r="H198" s="7"/>
      <c r="I198" s="7"/>
      <c r="J198" s="7"/>
    </row>
    <row r="199" spans="1:10" ht="50.25" customHeight="1">
      <c r="A199" s="30"/>
      <c r="B199" s="31"/>
      <c r="C199" s="59" t="s">
        <v>212</v>
      </c>
      <c r="D199" s="75" t="s">
        <v>213</v>
      </c>
      <c r="E199" s="46">
        <f>G199</f>
        <v>804000</v>
      </c>
      <c r="F199" s="46"/>
      <c r="G199" s="46">
        <f>IF((SUMIF($C$14:$C$185,6300,$G$14:$G$185))&gt;0,(SUMIF($C$14:$C$185,6300,$G$14:$G$185))," ")</f>
        <v>804000</v>
      </c>
      <c r="H199" s="7"/>
      <c r="I199" s="7" t="s">
        <v>146</v>
      </c>
      <c r="J199" s="7"/>
    </row>
    <row r="200" spans="1:10" ht="63" customHeight="1">
      <c r="A200" s="30"/>
      <c r="B200" s="31" t="s">
        <v>146</v>
      </c>
      <c r="C200" s="59" t="s">
        <v>223</v>
      </c>
      <c r="D200" s="154" t="s">
        <v>224</v>
      </c>
      <c r="E200" s="86">
        <f>IF((SUMIF($C$14:$C$185,6660,$G$14:$G$185))&gt;0,(SUMIF($C$14:$C$185,6660,$G$14:$G$185))," ")</f>
        <v>81113.03</v>
      </c>
      <c r="F200" s="86"/>
      <c r="G200" s="86">
        <f>IF((SUMIF($C$14:$C$185,6660,$G$14:$G$185))&gt;0,(SUMIF($C$14:$C$185,6660,$G$14:$G$185))," ")</f>
        <v>81113.03</v>
      </c>
      <c r="H200" s="7"/>
      <c r="I200" s="7"/>
      <c r="J200" s="7"/>
    </row>
    <row r="201" spans="1:10" ht="23.25" customHeight="1">
      <c r="A201" s="30"/>
      <c r="B201" s="31"/>
      <c r="C201" s="23"/>
      <c r="D201" s="45" t="s">
        <v>144</v>
      </c>
      <c r="E201" s="46">
        <f>SUM(F201:G201)</f>
        <v>665096</v>
      </c>
      <c r="F201" s="46">
        <f>SUMIF($C$14:$C$184,2460,$F$14:$F$185)+SUMIF($C$14:$C$184,2707,$F$14:$F$184)+SUMIF($C$14:$C$184,2690,$F$14:$F$184)+SUMIF($C$14:$C$184,2700,$F$14:$F$184)</f>
        <v>665096</v>
      </c>
      <c r="G201" s="13"/>
      <c r="H201" s="7"/>
      <c r="I201" s="7"/>
      <c r="J201" s="7"/>
    </row>
    <row r="202" spans="1:10" ht="18.75" customHeight="1">
      <c r="A202" s="32"/>
      <c r="B202" s="33"/>
      <c r="C202" s="23"/>
      <c r="D202" s="45" t="s">
        <v>145</v>
      </c>
      <c r="E202" s="86">
        <f ca="1">SUM(F202:G202)</f>
        <v>21724558.34</v>
      </c>
      <c r="F202" s="86">
        <f ca="1">SUMIF($C$14:$C$184,2360,$F$14:$F$185)+SUMIF($C$14:$C$184,840,$F$14:$F$184)+SUMIF($C$14:$C$184,970,$F$14:$F$184)+SUMIF($C$14:$C$184,750,$F$14:$F$184)+SUMIF($C$14:$C$184,470,$F$14:$F$184)+SUMIF($C$14:$C$184,920,$F$14:$F$184)+SUMIF($C$14:$C$184,690,$F$14:$F$184)+SUMIF($C$14:$C$184,420,$F$14:$F$184)+SUMIF($C$14:$C$184,490,$F$14:$F$184)+SUMIF($C$14:$C$184,10,$F$14:$F$184)+SUMIF($C$14:$C$184,20,$F$14:$F$184)+SUMIF($C$14:$C$184,830,$F$14:$F$184)+SUMIF($C$14:$C$184,580,$F$14:$F$184)+SUMIF($C$14:$C$185,900,$F$14:$F$184)+SUMIF($C$14:$C$185,680,$F$14:$F$184)+SUMIF($C$14:$C$184,650,$F$14:$F$184)+SUMIF($C$14:$C$184,610,$F$14:$F$184)+SUMIF($C$14:$C$184,940,$F$14:$F$184)+SUMIF($C$14:$C$184,960,$F$14:$F$184)+SUMIF($C$14:$C$184,950,$F$14:$F$184)</f>
        <v>21539379.34</v>
      </c>
      <c r="G202" s="86">
        <f>IF((SUMIF($C$14:$C$185,800,$G$14:$G$185))&gt;0,(SUMIF($C$14:$C$185,800,$G$14:$G$185))," ")</f>
        <v>185179</v>
      </c>
      <c r="H202" s="173">
        <f ca="1">SUM(E186:E202)</f>
        <v>85539188.829999998</v>
      </c>
      <c r="I202" s="173">
        <f ca="1">SUM(F186:F202)</f>
        <v>81184666.799999997</v>
      </c>
      <c r="J202" s="34">
        <f>SUM(G186:G202)</f>
        <v>4354522.0299999993</v>
      </c>
    </row>
    <row r="203" spans="1:10">
      <c r="A203" s="35"/>
      <c r="B203" s="35"/>
      <c r="C203" s="35"/>
      <c r="D203" s="36"/>
      <c r="E203" s="37"/>
      <c r="F203" s="37"/>
      <c r="G203" s="37"/>
      <c r="H203" s="7" t="str">
        <f ca="1">IF(H202=E185,"OK.","BŁĄD")</f>
        <v>OK.</v>
      </c>
      <c r="I203" s="7" t="str">
        <f ca="1">IF(I202=F185,"OK.","BŁĄD")</f>
        <v>OK.</v>
      </c>
      <c r="J203" s="7" t="str">
        <f>IF(J202=G185,"OK.","BŁĄD")</f>
        <v>OK.</v>
      </c>
    </row>
    <row r="204" spans="1:10">
      <c r="A204" s="194" t="s">
        <v>147</v>
      </c>
      <c r="B204" s="195"/>
      <c r="C204" s="195"/>
      <c r="D204" s="195"/>
      <c r="E204" s="37"/>
      <c r="F204" s="37"/>
      <c r="G204" s="37"/>
      <c r="H204" s="7"/>
      <c r="I204" s="7"/>
      <c r="J204" s="7"/>
    </row>
    <row r="205" spans="1:10">
      <c r="A205" s="35" t="s">
        <v>146</v>
      </c>
      <c r="B205" s="35" t="s">
        <v>146</v>
      </c>
      <c r="C205" s="35"/>
      <c r="D205" s="36"/>
      <c r="E205" s="37"/>
      <c r="F205" s="37"/>
      <c r="G205" s="37"/>
      <c r="H205" s="7"/>
      <c r="I205" s="7"/>
      <c r="J205" s="7"/>
    </row>
    <row r="206" spans="1:10" ht="20.25">
      <c r="A206" s="35"/>
      <c r="B206" s="35"/>
      <c r="C206" s="35"/>
      <c r="D206" s="163"/>
      <c r="E206" s="161" t="s">
        <v>243</v>
      </c>
      <c r="F206" s="164"/>
      <c r="G206" s="165"/>
      <c r="H206" s="7"/>
      <c r="I206" s="7"/>
      <c r="J206" s="7"/>
    </row>
    <row r="207" spans="1:10" ht="20.25">
      <c r="A207" s="35"/>
      <c r="B207" s="35"/>
      <c r="C207" s="35"/>
      <c r="D207" s="179" t="s">
        <v>242</v>
      </c>
      <c r="E207" s="179"/>
      <c r="F207" s="179"/>
      <c r="G207" s="180"/>
      <c r="H207" s="7"/>
      <c r="I207" s="7"/>
      <c r="J207" s="7"/>
    </row>
    <row r="208" spans="1:10" ht="26.25" customHeight="1">
      <c r="A208" s="35"/>
      <c r="B208" s="35"/>
      <c r="C208" s="35"/>
      <c r="D208" s="181" t="s">
        <v>241</v>
      </c>
      <c r="E208" s="182"/>
      <c r="F208" s="182"/>
      <c r="G208" s="182"/>
      <c r="H208" s="7"/>
      <c r="I208" s="7"/>
      <c r="J208" s="7"/>
    </row>
    <row r="209" spans="1:10" ht="20.25">
      <c r="A209" s="35"/>
      <c r="B209" s="35"/>
      <c r="C209" s="35"/>
      <c r="D209" s="162"/>
      <c r="E209" s="196" t="s">
        <v>240</v>
      </c>
      <c r="F209" s="197"/>
      <c r="G209" s="197"/>
      <c r="H209" s="7"/>
      <c r="I209" s="7"/>
      <c r="J209" s="7"/>
    </row>
    <row r="210" spans="1:10" ht="15">
      <c r="A210" s="35"/>
      <c r="B210" s="35"/>
      <c r="C210" s="35"/>
      <c r="D210" s="183" t="s">
        <v>146</v>
      </c>
      <c r="E210" s="184"/>
      <c r="F210" s="184"/>
      <c r="G210" s="184"/>
      <c r="H210" s="7"/>
      <c r="I210" s="7"/>
      <c r="J210" s="7"/>
    </row>
    <row r="211" spans="1:10" ht="20.25">
      <c r="A211" s="35"/>
      <c r="B211" s="35"/>
      <c r="C211" s="35"/>
      <c r="D211" s="185" t="s">
        <v>146</v>
      </c>
      <c r="E211" s="186"/>
      <c r="F211" s="186"/>
      <c r="G211" s="184"/>
      <c r="H211" s="7"/>
      <c r="I211" s="7"/>
      <c r="J211" s="7"/>
    </row>
    <row r="212" spans="1:10" ht="20.25">
      <c r="A212" s="35"/>
      <c r="B212" s="35"/>
      <c r="C212" s="35"/>
      <c r="D212" s="38"/>
      <c r="E212" s="39" t="s">
        <v>146</v>
      </c>
      <c r="F212" s="39"/>
      <c r="G212" s="37"/>
      <c r="H212" s="7"/>
      <c r="I212" s="7"/>
      <c r="J212" s="7"/>
    </row>
    <row r="213" spans="1:10">
      <c r="A213" s="35"/>
      <c r="B213" s="35"/>
      <c r="C213" s="35"/>
      <c r="D213" s="36"/>
      <c r="E213" s="37"/>
      <c r="F213" s="37"/>
      <c r="G213" s="37"/>
      <c r="H213" s="7"/>
      <c r="I213" s="7"/>
      <c r="J213" s="7"/>
    </row>
    <row r="214" spans="1:10">
      <c r="A214" s="35"/>
      <c r="B214" s="35"/>
      <c r="C214" s="35"/>
      <c r="D214" s="36"/>
      <c r="E214" s="37"/>
      <c r="F214" s="37"/>
      <c r="G214" s="37"/>
      <c r="H214" s="7"/>
      <c r="I214" s="7"/>
      <c r="J214" s="7"/>
    </row>
    <row r="215" spans="1:10">
      <c r="A215" s="35"/>
      <c r="B215" s="35"/>
      <c r="C215" s="35"/>
      <c r="D215" s="36"/>
      <c r="E215" s="37"/>
      <c r="F215" s="37"/>
      <c r="G215" s="37"/>
      <c r="H215" s="7"/>
      <c r="I215" s="7"/>
      <c r="J215" s="7"/>
    </row>
    <row r="216" spans="1:10">
      <c r="A216" s="35"/>
      <c r="B216" s="35"/>
      <c r="C216" s="35"/>
      <c r="D216" s="36"/>
      <c r="E216" s="37"/>
      <c r="F216" s="37"/>
      <c r="G216" s="37"/>
      <c r="H216" s="7"/>
      <c r="I216" s="7"/>
      <c r="J216" s="7"/>
    </row>
  </sheetData>
  <mergeCells count="22">
    <mergeCell ref="D207:G207"/>
    <mergeCell ref="D208:G208"/>
    <mergeCell ref="D210:G210"/>
    <mergeCell ref="D211:G211"/>
    <mergeCell ref="A6:G6"/>
    <mergeCell ref="A7:G7"/>
    <mergeCell ref="A9:G9"/>
    <mergeCell ref="A10:A12"/>
    <mergeCell ref="B10:B12"/>
    <mergeCell ref="C10:C12"/>
    <mergeCell ref="D10:D12"/>
    <mergeCell ref="E10:G10"/>
    <mergeCell ref="E11:E12"/>
    <mergeCell ref="F11:G11"/>
    <mergeCell ref="A204:D204"/>
    <mergeCell ref="E209:G209"/>
    <mergeCell ref="A1:E5"/>
    <mergeCell ref="F1:G1"/>
    <mergeCell ref="F2:G2"/>
    <mergeCell ref="F3:G3"/>
    <mergeCell ref="F4:G4"/>
    <mergeCell ref="F5:G5"/>
  </mergeCells>
  <pageMargins left="0.70866141732283472" right="0.70866141732283472" top="0.74803149606299213" bottom="0.74803149606299213" header="0.31496062992125984" footer="0.31496062992125984"/>
  <pageSetup paperSize="9" scale="57" firstPageNumber="4" orientation="portrait" useFirstPageNumber="1" r:id="rId1"/>
  <headerFooter>
    <oddFooter>&amp;C&amp;P</oddFooter>
  </headerFooter>
  <rowBreaks count="5" manualBreakCount="5">
    <brk id="44" max="6" man="1"/>
    <brk id="90" max="6" man="1"/>
    <brk id="132" max="6" man="1"/>
    <brk id="183" max="6" man="1"/>
    <brk id="209" max="6" man="1"/>
  </rowBreaks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Uchwała Nr 374/2012</dc:title>
  <dc:subject>projekt budżetu na 2013 - zał. Nr 1 - dochody</dc:subject>
  <dc:creator>Genowefa Gniadek</dc:creator>
  <cp:lastModifiedBy>marsub</cp:lastModifiedBy>
  <cp:lastPrinted>2018-07-16T06:23:23Z</cp:lastPrinted>
  <dcterms:created xsi:type="dcterms:W3CDTF">2011-09-13T08:12:29Z</dcterms:created>
  <dcterms:modified xsi:type="dcterms:W3CDTF">2018-07-16T06:23:29Z</dcterms:modified>
</cp:coreProperties>
</file>